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6" documentId="13_ncr:1_{A576E581-9B8C-4588-830B-6A668B0654E9}" xr6:coauthVersionLast="47" xr6:coauthVersionMax="47" xr10:uidLastSave="{19E29D31-5AA1-43C4-9CA4-5234E8502C18}"/>
  <bookViews>
    <workbookView xWindow="-120" yWindow="-120" windowWidth="29040" windowHeight="15840" xr2:uid="{00000000-000D-0000-FFFF-FFFF00000000}"/>
  </bookViews>
  <sheets>
    <sheet name="sotto 40" sheetId="4" r:id="rId1"/>
  </sheets>
  <definedNames>
    <definedName name="_xlnm._FilterDatabase" localSheetId="0" hidden="1">'sotto 40'!$A$1:$XEY$93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9" i="4" l="1"/>
  <c r="R93" i="4"/>
  <c r="R51" i="4"/>
  <c r="R88" i="4"/>
  <c r="R29" i="4"/>
  <c r="R60" i="4" l="1"/>
  <c r="O86" i="4"/>
  <c r="P86" i="4" s="1"/>
  <c r="R87" i="4" l="1"/>
  <c r="A5" i="4" l="1"/>
  <c r="R50" i="4" l="1"/>
  <c r="R65" i="4"/>
  <c r="R63" i="4" l="1"/>
  <c r="R47" i="4" l="1"/>
  <c r="R80" i="4" l="1"/>
  <c r="M72" i="4" l="1"/>
  <c r="M73" i="4"/>
  <c r="M74" i="4"/>
  <c r="M76" i="4"/>
  <c r="M77" i="4"/>
  <c r="M78" i="4"/>
  <c r="M79" i="4"/>
  <c r="M80" i="4"/>
  <c r="M81" i="4"/>
  <c r="M82" i="4"/>
  <c r="M85" i="4"/>
  <c r="M87" i="4"/>
  <c r="M88" i="4"/>
  <c r="M89" i="4"/>
  <c r="M90" i="4"/>
  <c r="M91" i="4"/>
  <c r="M92" i="4"/>
  <c r="R81" i="4"/>
  <c r="P81" i="4"/>
  <c r="R66" i="4"/>
  <c r="R90" i="4"/>
  <c r="R22" i="4"/>
  <c r="R30" i="4" l="1"/>
  <c r="P93" i="4" l="1"/>
  <c r="P91" i="4"/>
  <c r="P89" i="4"/>
  <c r="P88" i="4"/>
  <c r="O84" i="4"/>
  <c r="P83" i="4"/>
  <c r="P82" i="4"/>
  <c r="P80" i="4"/>
  <c r="N80" i="4"/>
  <c r="P79" i="4"/>
  <c r="O75" i="4"/>
  <c r="O74" i="4"/>
  <c r="P73" i="4"/>
  <c r="O71" i="4"/>
  <c r="P70" i="4"/>
  <c r="P69" i="4"/>
  <c r="P68" i="4"/>
  <c r="O66" i="4"/>
  <c r="O65" i="4"/>
  <c r="P64" i="4"/>
  <c r="P63" i="4"/>
  <c r="P66" i="4" l="1"/>
  <c r="P71" i="4"/>
  <c r="P84" i="4"/>
  <c r="P65" i="4"/>
  <c r="P74" i="4"/>
  <c r="P75" i="4"/>
  <c r="O62" i="4"/>
  <c r="P62" i="4" l="1"/>
  <c r="Q62" i="4" s="1"/>
  <c r="R18" i="4" l="1"/>
  <c r="R36" i="4" l="1"/>
  <c r="R40" i="4"/>
  <c r="R10" i="4"/>
  <c r="P61" i="4"/>
  <c r="P60" i="4"/>
  <c r="P59" i="4"/>
  <c r="P58" i="4"/>
  <c r="P57" i="4"/>
  <c r="P55" i="4"/>
  <c r="P53" i="4"/>
  <c r="P52" i="4"/>
  <c r="P47" i="4"/>
  <c r="P46" i="4"/>
  <c r="P48" i="4"/>
  <c r="P49" i="4"/>
  <c r="P50" i="4"/>
  <c r="P51" i="4"/>
  <c r="P45" i="4"/>
  <c r="P44" i="4" l="1"/>
  <c r="P43" i="4"/>
  <c r="P42" i="4" l="1"/>
  <c r="O41" i="4"/>
  <c r="P41" i="4" l="1"/>
  <c r="N40" i="4"/>
  <c r="N38" i="4"/>
  <c r="O36" i="4" l="1"/>
  <c r="P40" i="4"/>
  <c r="P39" i="4"/>
  <c r="P37" i="4"/>
  <c r="P38" i="4"/>
  <c r="Q38" i="4" s="1"/>
  <c r="P35" i="4"/>
  <c r="P34" i="4"/>
  <c r="N32" i="4"/>
  <c r="P32" i="4" s="1"/>
  <c r="N31" i="4"/>
  <c r="P31" i="4" s="1"/>
  <c r="N30" i="4"/>
  <c r="P30" i="4" s="1"/>
  <c r="N29" i="4"/>
  <c r="P29" i="4" s="1"/>
  <c r="N28" i="4"/>
  <c r="P28" i="4" s="1"/>
  <c r="P25" i="4"/>
  <c r="P26" i="4"/>
  <c r="P27" i="4"/>
  <c r="N24" i="4"/>
  <c r="P24" i="4" s="1"/>
  <c r="N23" i="4"/>
  <c r="P23" i="4" s="1"/>
  <c r="N22" i="4"/>
  <c r="P22" i="4" s="1"/>
  <c r="P36" i="4" l="1"/>
  <c r="P21" i="4"/>
  <c r="P19" i="4"/>
  <c r="N18" i="4"/>
  <c r="P17" i="4" l="1"/>
  <c r="Q17" i="4" s="1"/>
  <c r="P15" i="4"/>
  <c r="Q15" i="4" s="1"/>
  <c r="P14" i="4"/>
  <c r="Q14" i="4" s="1"/>
  <c r="Q18" i="4"/>
  <c r="P13" i="4"/>
  <c r="Q13" i="4" s="1"/>
  <c r="P12" i="4"/>
  <c r="Q12" i="4" s="1"/>
  <c r="P11" i="4"/>
  <c r="Q11" i="4" s="1"/>
  <c r="P10" i="4"/>
  <c r="Q10" i="4" s="1"/>
  <c r="N9" i="4"/>
  <c r="P9" i="4" s="1"/>
  <c r="N8" i="4"/>
  <c r="P8" i="4" s="1"/>
  <c r="Q8" i="4" s="1"/>
  <c r="N7" i="4"/>
  <c r="O7" i="4" s="1"/>
  <c r="N5" i="4"/>
  <c r="P5" i="4" s="1"/>
  <c r="Q5" i="4" s="1"/>
  <c r="N4" i="4"/>
  <c r="Q6" i="4"/>
  <c r="Q19" i="4"/>
  <c r="Q22" i="4"/>
  <c r="Q23" i="4"/>
  <c r="Q24" i="4"/>
  <c r="Q26" i="4"/>
  <c r="Q27" i="4"/>
  <c r="Q28" i="4"/>
  <c r="Q29" i="4"/>
  <c r="Q30" i="4"/>
  <c r="Q31" i="4"/>
  <c r="Q32" i="4"/>
  <c r="Q33" i="4"/>
  <c r="Q34" i="4"/>
  <c r="Q35" i="4"/>
  <c r="Q36" i="4"/>
  <c r="Q37" i="4"/>
  <c r="Q40" i="4"/>
  <c r="Q41" i="4"/>
  <c r="Q42" i="4"/>
  <c r="Q43" i="4"/>
  <c r="Q44" i="4"/>
  <c r="Q45" i="4"/>
  <c r="Q46" i="4"/>
  <c r="Q48" i="4"/>
  <c r="Q49" i="4"/>
  <c r="Q50" i="4"/>
  <c r="Q51" i="4"/>
  <c r="Q52" i="4"/>
  <c r="Q53" i="4"/>
  <c r="Q55" i="4"/>
  <c r="Q56" i="4"/>
  <c r="Q57" i="4"/>
  <c r="Q58" i="4"/>
  <c r="Q59" i="4"/>
  <c r="Q60" i="4"/>
  <c r="Q61"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P3" i="4"/>
  <c r="Q3" i="4" s="1"/>
  <c r="P7" i="4" l="1"/>
  <c r="Q7" i="4" s="1"/>
  <c r="Q9" i="4"/>
  <c r="O4" i="4"/>
  <c r="P4" i="4" l="1"/>
  <c r="Q4" i="4" s="1"/>
</calcChain>
</file>

<file path=xl/sharedStrings.xml><?xml version="1.0" encoding="utf-8"?>
<sst xmlns="http://schemas.openxmlformats.org/spreadsheetml/2006/main" count="591" uniqueCount="445">
  <si>
    <t>Affidamento</t>
  </si>
  <si>
    <t>00</t>
  </si>
  <si>
    <t>01</t>
  </si>
  <si>
    <t>sez</t>
  </si>
  <si>
    <t>CIG</t>
  </si>
  <si>
    <t>CUP</t>
  </si>
  <si>
    <t>Oggetto</t>
  </si>
  <si>
    <t>Aggiudicatario</t>
  </si>
  <si>
    <t>Importo di aggiudicazione IVA esclusa</t>
  </si>
  <si>
    <t xml:space="preserve">CPA </t>
  </si>
  <si>
    <t>Totale</t>
  </si>
  <si>
    <t>Importo delle somme liquidate IVA esclusa</t>
  </si>
  <si>
    <t>Nomina
Rup</t>
  </si>
  <si>
    <t>Data pagamento</t>
  </si>
  <si>
    <t>Iva</t>
  </si>
  <si>
    <t>N. offerenti</t>
  </si>
  <si>
    <t>N. preventivi
richiesti</t>
  </si>
  <si>
    <t>Incarico 
professionale</t>
  </si>
  <si>
    <t>Data
affidamento</t>
  </si>
  <si>
    <t>AM091_1</t>
  </si>
  <si>
    <t>AM091_2</t>
  </si>
  <si>
    <t>Z9139816C6</t>
  </si>
  <si>
    <t>SGRU</t>
  </si>
  <si>
    <t>Appalto di servizio per la formazione per l’accompagnamento individuale dei responsabili nella preparazione dei colloqui finali di valutazione dei collaboratori</t>
  </si>
  <si>
    <t xml:space="preserve">Ismo Srl </t>
  </si>
  <si>
    <t>AM092_3</t>
  </si>
  <si>
    <t>Incarico professionale per il giudizio nei confronti dell’Azienda Agricola Villa Gianfranco e Claudio s.s. finalizzato alla risoluzione per inadempimento del contratto di locazione agraria del Podere denominato Cascina Bertora nel Comune di Rosate (MI)</t>
  </si>
  <si>
    <t>GL</t>
  </si>
  <si>
    <t>Studio Associato Nicolini e Cantù</t>
  </si>
  <si>
    <t>AM094_7</t>
  </si>
  <si>
    <t>Z693999915</t>
  </si>
  <si>
    <t>Appalto di servizio di telefonia mobile e fornitura di schede sim e telefoni smartphone per la durata di 30 mesi.</t>
  </si>
  <si>
    <t>Vodafone Spa</t>
  </si>
  <si>
    <t>AM95_8 bis</t>
  </si>
  <si>
    <t>PS</t>
  </si>
  <si>
    <t>Conferimento di n. 19 incarichi professionali per la Direzione scientifica e la docenza nei corsi dell’Accademia Ca’ Granda - rettifica</t>
  </si>
  <si>
    <t>Dott.ssa Marianna Lo Zoppo</t>
  </si>
  <si>
    <t>AM096_9</t>
  </si>
  <si>
    <t>Incarico professionale di assistenza in diritto amministrativo al Professor Mauro Renna.</t>
  </si>
  <si>
    <t>Professor Mauro Renna</t>
  </si>
  <si>
    <t>AM097_10</t>
  </si>
  <si>
    <t>Appalto di lavori finalizzati all'inibizione all'accesso ed al ripristino della chiusura della porta di ingresso e della recinzione dell'area di pertinenza di un immobile sito in Via Dante Alighieri 12 a Ponte Sesto, Frazione di Rozzano (Mi) ed identificato catastalmente al foglio 16 mappale 9 sub 3</t>
  </si>
  <si>
    <t>GM</t>
  </si>
  <si>
    <t xml:space="preserve"> Z4739CFC75</t>
  </si>
  <si>
    <t xml:space="preserve">EdilJolli srl </t>
  </si>
  <si>
    <t>Appalto di lavori finalizzati all'inibizione all'accesso ed al ripristino della chiusura della porta di ingresso e della recinzione dell'area di pertinenza di un immobile sito in Via Dante Alighieri 12 a Ponte Sesto, Frazione di Rozzano (Mi) ed identificato catastalmente al foglio 16 mappale 9 sub 3_ integrazione</t>
  </si>
  <si>
    <t>AM097_46</t>
  </si>
  <si>
    <t>AM098_12</t>
  </si>
  <si>
    <t>AM097_11</t>
  </si>
  <si>
    <t>incarico professionale per la consulenza agronomica fino al 31/12/2023</t>
  </si>
  <si>
    <t>dott. Agr. Tommaso Gaifami</t>
  </si>
  <si>
    <t>AM099_13</t>
  </si>
  <si>
    <t>incarico professionale di assistenza in diritto agrario</t>
  </si>
  <si>
    <t>AM100_14</t>
  </si>
  <si>
    <t>incarico professionale di assistenza in diritto delle acque</t>
  </si>
  <si>
    <t>Avv Francesco Mantovani.</t>
  </si>
  <si>
    <t>AM101_15</t>
  </si>
  <si>
    <t>AM101_16</t>
  </si>
  <si>
    <t>servizio per la perizia estimativa del canone di locazione di 22 unità abitative.</t>
  </si>
  <si>
    <t xml:space="preserve">Kroll Spa R.E.A.G; K2Real Srl; Cbre Valuation Spa; Agenzia delle Entrate </t>
  </si>
  <si>
    <t>Kroll Spa R.E.A.G</t>
  </si>
  <si>
    <t>AM102_17</t>
  </si>
  <si>
    <t>AM102_19</t>
  </si>
  <si>
    <t>servizio di Direzione Lavori per interventi di manutenzione a chiamata da effettuarsi sul patrimonio edilizio, sui manufatti idrici di controllo e regolazione delle acque, sulle sponde argini dei canali e rogge di irrigazione di proprietà di Fondazione IRCCS Ca’ Granda Ospedale Maggiore Policlinico nel periodo compreso tra 01/03/2023 e il 31/12/2023</t>
  </si>
  <si>
    <t>Arch. Marco Sessa</t>
  </si>
  <si>
    <t>Arch. Marco Sessa; Geom. Massimo Castellazzi ; Arch. Serenella Sergi; KService Impresa Sociale Srl</t>
  </si>
  <si>
    <t>AM103_18</t>
  </si>
  <si>
    <t>incarico professionale per la redazione del progetto “Generazione Ca' Granda. Il futuro di un Ente secolare che si rigenera con la crescita delle persone” finalizzato alla partecipazione al Bando di Fondazione Cariplo “Riprogettiamo il futuro”.</t>
  </si>
  <si>
    <t>dott.ssa Gessica Mattei</t>
  </si>
  <si>
    <t>AM104_20</t>
  </si>
  <si>
    <t>incarico professionale per i corsi dell’Accademia Ca’ Granda al prof. Alex Bach - rettifica</t>
  </si>
  <si>
    <t>prof. Alex Bach</t>
  </si>
  <si>
    <t>AM105_2</t>
  </si>
  <si>
    <t>AM105_25</t>
  </si>
  <si>
    <t>fornitura di n. 10 idrometri.</t>
  </si>
  <si>
    <t>Centro Grafico Lodigiano SNC</t>
  </si>
  <si>
    <t>AP SISTEMI SNC; Centro Grafico Lodigiano SNC; Teorema</t>
  </si>
  <si>
    <t>Z0D3A1D6C4</t>
  </si>
  <si>
    <t>Soggetto richiedente</t>
  </si>
  <si>
    <t>AM106_26</t>
  </si>
  <si>
    <t>incarico professionale per l’assistenza grafica</t>
  </si>
  <si>
    <t>Gabriele Montingelli</t>
  </si>
  <si>
    <t>AM107_27</t>
  </si>
  <si>
    <t>incarico professionale per il supporto tecnico amministrativo per la vendita in piedi dei boschi nei comuni di Cavaria con Premezzo (VA) e Gallarate</t>
  </si>
  <si>
    <t>Roberto Musmeci</t>
  </si>
  <si>
    <t>AM108_28</t>
  </si>
  <si>
    <t>incarico professionale per l’analisi e lo studio delle residuali donazioni patrimoniali all’Ospedale Maggiore</t>
  </si>
  <si>
    <t>dott. Luca Fois</t>
  </si>
  <si>
    <t>AM109_29</t>
  </si>
  <si>
    <t>AM109_30</t>
  </si>
  <si>
    <t>lavori di ripristino del portone di ingresso della Cappella funeraria di Santa Maria alle Selve sita a Vedano al Lambro (MB)</t>
  </si>
  <si>
    <t xml:space="preserve">Polignum srl </t>
  </si>
  <si>
    <t>ZF03A92BC7</t>
  </si>
  <si>
    <t>servizio finalizzato alla definizione e gestione di un programma di eventi nell’Oasi Ca’ Granda</t>
  </si>
  <si>
    <t>AM110_34</t>
  </si>
  <si>
    <t>AM110_35</t>
  </si>
  <si>
    <t>ZE03AA217C</t>
  </si>
  <si>
    <t>Efficere sas</t>
  </si>
  <si>
    <t>AM111_36</t>
  </si>
  <si>
    <t>AM111_37</t>
  </si>
  <si>
    <t>Z103A90FC2</t>
  </si>
  <si>
    <t>servizio di prelievo di campioni di suolo</t>
  </si>
  <si>
    <t xml:space="preserve">Acqua e Sole Srl </t>
  </si>
  <si>
    <t>servizio di assistenza del software di contabilità_rettifica</t>
  </si>
  <si>
    <t>AM112_38</t>
  </si>
  <si>
    <t>Z062FC60A1</t>
  </si>
  <si>
    <t>AC</t>
  </si>
  <si>
    <t xml:space="preserve">Sia Srl </t>
  </si>
  <si>
    <t>AM113_40</t>
  </si>
  <si>
    <t>AM113_41</t>
  </si>
  <si>
    <t>servizio per l’organizzazione delle attività didattiche all’interno del progetto “Con i piedi per terra”.</t>
  </si>
  <si>
    <t>Azienda Agricola La Caiella di Giuseppe e Gian Franco Andreoni S.S. -</t>
  </si>
  <si>
    <t>Z293AB59F4</t>
  </si>
  <si>
    <t>servizio di progettazione e proposta di attività in natura</t>
  </si>
  <si>
    <t>ZB23AD72EB</t>
  </si>
  <si>
    <t xml:space="preserve">Gaia 9000 srl </t>
  </si>
  <si>
    <t>AM114_42</t>
  </si>
  <si>
    <t>AM114_43</t>
  </si>
  <si>
    <t>dott. Marco Acutis</t>
  </si>
  <si>
    <t>AM115_44</t>
  </si>
  <si>
    <t>incarico professionale per valutazione delle criticità relative alle  prestazioni in termini di carbonio nel suolo dei terreni in usufrutto a Fondazione Patrimonio Ca’ Granda _ rettifica</t>
  </si>
  <si>
    <t>AM116_47</t>
  </si>
  <si>
    <t>AM116_48</t>
  </si>
  <si>
    <t>ZAD3A59A8D</t>
  </si>
  <si>
    <t xml:space="preserve">fornitura del Sistema Arxivar per la gestione del processo di acquisto </t>
  </si>
  <si>
    <t>Sielco Srl; Lutech Spa</t>
  </si>
  <si>
    <t>AM117_49</t>
  </si>
  <si>
    <t>AM117_50</t>
  </si>
  <si>
    <t>servizio di previsioni Meteoblue per n. 4 centraline meteo</t>
  </si>
  <si>
    <t xml:space="preserve">Netsens srl </t>
  </si>
  <si>
    <t>Z343AFB1D4</t>
  </si>
  <si>
    <t>AM118_51</t>
  </si>
  <si>
    <t>incarico professionale per ufficio stampa</t>
  </si>
  <si>
    <t xml:space="preserve">Serena Capasso </t>
  </si>
  <si>
    <t>AM119_52</t>
  </si>
  <si>
    <t>AM119_53</t>
  </si>
  <si>
    <t>fornitura del software PriMus e relativi aggiornamenti fino al 31/04/2026.</t>
  </si>
  <si>
    <t>Z5D3B0FB88</t>
  </si>
  <si>
    <t>AM120_54</t>
  </si>
  <si>
    <t>AM120_55</t>
  </si>
  <si>
    <t>fornitura di n 8 cartelli di segnaletica informativa all’interno del fornitura di n 8 cartelli di segnaletica informativa all’interno del
progetto “Con i Piedi per terra” di Fondazione Cariplo</t>
  </si>
  <si>
    <t xml:space="preserve">Sand srl  </t>
  </si>
  <si>
    <t xml:space="preserve">Sand srl; Coppo </t>
  </si>
  <si>
    <t>AM121_56</t>
  </si>
  <si>
    <t>AM121_57</t>
  </si>
  <si>
    <t>AM122_58</t>
  </si>
  <si>
    <t>AM122_59</t>
  </si>
  <si>
    <t>servizio di catering per la giornata del 21 maggio nell’Oasi Ca’Granda per i dipendenti dell’Ospedale</t>
  </si>
  <si>
    <t>Z273B37FDA</t>
  </si>
  <si>
    <t>Z7B3B1A07E</t>
  </si>
  <si>
    <t xml:space="preserve">Progetto Mirasole coop sociale </t>
  </si>
  <si>
    <t>servizio per la realizzazione di visite guidate per la giornata del 21 maggio nell’Oasi Ca’ Granda per i dipendenti dell’Ospedale</t>
  </si>
  <si>
    <t>ZE33B39035</t>
  </si>
  <si>
    <t xml:space="preserve">Koinè Cooperativa Sociale Onlus </t>
  </si>
  <si>
    <t>AM123_60</t>
  </si>
  <si>
    <t>AM123_61</t>
  </si>
  <si>
    <t>ZED3B398C9</t>
  </si>
  <si>
    <t>servizio per la realizzazione di laboratori creativi per la giornata del 21 maggio nell’Oasi Ca’ Granda per i dipendenti dell’Ospedale</t>
  </si>
  <si>
    <t>Stripes Cooperativa Sociale Onlus</t>
  </si>
  <si>
    <t>AM124_62</t>
  </si>
  <si>
    <t>DRA</t>
  </si>
  <si>
    <t>incarico professionale per la redazione di n. 3 attestati di prestazione energetica per fabbricati di proprietà di Fondazione Irccs Ca’ Granda Ospedale Maggiore Policlinico siti nelle province di Monza, Lodi e Varese</t>
  </si>
  <si>
    <t>ing. Roberto Favatà</t>
  </si>
  <si>
    <t>AM125_63</t>
  </si>
  <si>
    <t>AM125_64</t>
  </si>
  <si>
    <t>AM126_67</t>
  </si>
  <si>
    <t>AM126_68</t>
  </si>
  <si>
    <t>servizio per la locazione temporanea di spazi attrezzati ad uso ufficio per un numero di 6 postazioni di lavoro</t>
  </si>
  <si>
    <t>ZCF3B56F2B</t>
  </si>
  <si>
    <t>Regus Business Centres Italia Srl</t>
  </si>
  <si>
    <t xml:space="preserve">AM127_70 </t>
  </si>
  <si>
    <t xml:space="preserve">ABC gadgets Srl ; Concetto è </t>
  </si>
  <si>
    <t>ABC gadgets Srl</t>
  </si>
  <si>
    <t>incarico professionale per la progettazione e la proposta di attività in natura relative al Progetto “Rete Ecologica Ca’ Granda</t>
  </si>
  <si>
    <t xml:space="preserve">Marina Luciani;Cecilia Belotti;Milo Manica; Marco Nicosia; Valentina Anello </t>
  </si>
  <si>
    <t>AM128_71</t>
  </si>
  <si>
    <t>AM128_72</t>
  </si>
  <si>
    <t xml:space="preserve"> ad un numero di destinatari determinati.servizio per la stampa di n. 500 copie del bilancio sociale e invio</t>
  </si>
  <si>
    <t xml:space="preserve">Geca Srl; Tipografia Reali; Tipografia Landoni Snc; Tipografia Locatelli Srl  </t>
  </si>
  <si>
    <t>Geca Srl</t>
  </si>
  <si>
    <t>AM129_73</t>
  </si>
  <si>
    <t>incarico professionale per l’esecuzione di prestazioni professionali per la regolarizzazione catastale di alcuni immobili di proprietà di Fondazione Irccs Ca’ Granda Ospedale Maggiore Policlinico di Milano</t>
  </si>
  <si>
    <t>geom. Angelo Maria Orsini - geom. Marco Garini</t>
  </si>
  <si>
    <t>AM130_76</t>
  </si>
  <si>
    <t>AM130_77</t>
  </si>
  <si>
    <t>servizio per la realizzazione di n. 7 pillole formative ed informative video registrate a distanza</t>
  </si>
  <si>
    <t>Signo Srl</t>
  </si>
  <si>
    <t>Z2E3B3A7FA</t>
  </si>
  <si>
    <t xml:space="preserve">Signo Srl; MG Video Srl; XRL Solution di Tornaghi Dario </t>
  </si>
  <si>
    <t>AM131_78</t>
  </si>
  <si>
    <t>incarico professionale per le verifiche di rispondenza delle opere di manutenzione ordinaria e straordinaria eseguite dal conduttore dei poderi Canova, Casella e Selvellino siti ad Asola (MN) in forza del contratto di affitto agrario</t>
  </si>
  <si>
    <t>Elena Dugaria</t>
  </si>
  <si>
    <t>AM132_79</t>
  </si>
  <si>
    <t>AM132_80</t>
  </si>
  <si>
    <t>fornitura di materiale inerte</t>
  </si>
  <si>
    <t>Z843B824BC</t>
  </si>
  <si>
    <t>Bargiggia Giovanni</t>
  </si>
  <si>
    <t>AM133_81</t>
  </si>
  <si>
    <t>AM133_82</t>
  </si>
  <si>
    <t xml:space="preserve"> ZA83B975EA</t>
  </si>
  <si>
    <t>servizio per la lavorazione tecnico redazionale completa e la stampa di 200 copie del volume “Fondazione Patrimonio Ca’ Granda. Uno studio storico, giuridico, economico della valorizzazione del suo patrimonio</t>
  </si>
  <si>
    <t xml:space="preserve">Editrice Fiorentina Srl </t>
  </si>
  <si>
    <t>AM134_83</t>
  </si>
  <si>
    <t>AM134_84</t>
  </si>
  <si>
    <t>Z2C3B975D4</t>
  </si>
  <si>
    <t xml:space="preserve">Tipografia Locatelli Srl </t>
  </si>
  <si>
    <t xml:space="preserve">Tipografia Locatelli Srl;Geca Srl </t>
  </si>
  <si>
    <t>servizio per la stampa di n 1000 copie della pubblicazione “Ti lascio un tesoro - Volti e storia di 600 anni di donazioni”</t>
  </si>
  <si>
    <t>AM135_96</t>
  </si>
  <si>
    <t>AM135_97</t>
  </si>
  <si>
    <t>Z123BB6F9B</t>
  </si>
  <si>
    <t>servizio di assistenza informatica per un totale di 300 ore fino al 31/12/2025</t>
  </si>
  <si>
    <t>Nasca</t>
  </si>
  <si>
    <t>AM136_98</t>
  </si>
  <si>
    <t>AM136_99</t>
  </si>
  <si>
    <t>AM137_100</t>
  </si>
  <si>
    <t>AM137_101</t>
  </si>
  <si>
    <t>Zucchetti Spa</t>
  </si>
  <si>
    <t>Z8D3BBBDDC</t>
  </si>
  <si>
    <t>servizio per l’attivazione, l’abbonamento e l’assistenza relativi al servizio Ztravel Infinity - Note Spese Saas per la gestione delle note spese del personale all’interno del gestionale Zucchetti</t>
  </si>
  <si>
    <t>Z9F3BB7446)</t>
  </si>
  <si>
    <t>fornitura di n. 9 firme remote della durata di 36 mesi integrate nel sistema Arxivar.</t>
  </si>
  <si>
    <t>AM138_102</t>
  </si>
  <si>
    <t>Avv. Massimo Cannella</t>
  </si>
  <si>
    <t>incarico professionale per la carica di Presidente dell’Organismo di Vigilanza della Fondazione</t>
  </si>
  <si>
    <t>AM139_103</t>
  </si>
  <si>
    <t>AM139_104</t>
  </si>
  <si>
    <t>AM140_105</t>
  </si>
  <si>
    <t>Z593BC44E0</t>
  </si>
  <si>
    <t>Studio Legale Associato Lecis e Cannella Grassi</t>
  </si>
  <si>
    <t>servizio di assistenza in materia di compliance</t>
  </si>
  <si>
    <t xml:space="preserve">incarico professionale di Revisore Unico </t>
  </si>
  <si>
    <t>dott. Alberto Romano</t>
  </si>
  <si>
    <t>AM141_110</t>
  </si>
  <si>
    <t>AM141_111</t>
  </si>
  <si>
    <t>ZAD3BD8980</t>
  </si>
  <si>
    <t xml:space="preserve"> SERVIZIO PER LA RIMOZIONE E LO SMALTIMENTO DI RIFIUTI DA UN’AREA SITA NEL COMUNE DI OPERA</t>
  </si>
  <si>
    <t>Gabanelli Srl; Costruzioni Pavan; Trivella s.r.l.; Crea.mi S.r.l.</t>
  </si>
  <si>
    <t>AM142_112</t>
  </si>
  <si>
    <t>AM142_113</t>
  </si>
  <si>
    <t>ACQUISTO DI N. 169 FOGLI CATASTALI IN FORMATO GIS (CXF)</t>
  </si>
  <si>
    <t>Agenzia delle Entrate</t>
  </si>
  <si>
    <t>AM143_114</t>
  </si>
  <si>
    <t>AM143_115</t>
  </si>
  <si>
    <t>SERVIZIO PER L’INSERIMENTO SUL SOFTWARE PRIMUS DI COMPUTI METRICI ESTIMATIVI RELATIVI AI CONTRATTI AGRARI DI FONDAZIONE PATRIMONIO CA' GRANDA»</t>
  </si>
  <si>
    <t>Z053BDF52C</t>
  </si>
  <si>
    <t>KService Impresa Sociale S.R.L;</t>
  </si>
  <si>
    <t>KService Impresa Sociale S.R.L;Geom. Corona; Projecting and Design; Arch. Sessa</t>
  </si>
  <si>
    <t>AM144_124</t>
  </si>
  <si>
    <t>SERVIZIO DI MANUTENZIONE ORDINARIA DI FASCE BOSCATE E FILARI DA ESEGUIRSI NEL COMUNE DI MORIMONDO (MI)»</t>
  </si>
  <si>
    <t>AM144_125</t>
  </si>
  <si>
    <t>AM144_126</t>
  </si>
  <si>
    <t>AM144_127</t>
  </si>
  <si>
    <t>Società Agricola Beretta Cesare Antonio e Filippo Pietro S.S.</t>
  </si>
  <si>
    <t>ZDD3BE6551</t>
  </si>
  <si>
    <t>Z943BE6540</t>
  </si>
  <si>
    <t>Impresa Individuale Corti Gabriele</t>
  </si>
  <si>
    <t>ZD93BE6538</t>
  </si>
  <si>
    <t>Società Agricola Fedeli s.s.,</t>
  </si>
  <si>
    <t>AM144_128</t>
  </si>
  <si>
    <t>Z183BE652A</t>
  </si>
  <si>
    <t>Azienda Agricola f.lli Negri F. &amp; s. SS.</t>
  </si>
  <si>
    <t>AM145_131</t>
  </si>
  <si>
    <t>AM145_132</t>
  </si>
  <si>
    <t>SERVIZIO DI DETERMINAZIONE DEL VALORE DI MERCATO DELLA PIENA PROPRIETÀ DI UN TERRENO SITUATO NEL COMUNE DI PAULLO (MI)</t>
  </si>
  <si>
    <t>Z0A3C008F4</t>
  </si>
  <si>
    <t xml:space="preserve">Kroll Spa </t>
  </si>
  <si>
    <t>K2Real Srl; Kroll Spa; Cbre;Agenzia del Territorio</t>
  </si>
  <si>
    <t>Fornitura di gadgets all’interno Progetto Rete Ecologica Ca’Granda</t>
  </si>
  <si>
    <t>31/03/2023 16/06/2023 31/07/2023</t>
  </si>
  <si>
    <t xml:space="preserve">Sielco Srl </t>
  </si>
  <si>
    <t>00-01</t>
  </si>
  <si>
    <t>28/05/2023 21/06/2023 30/06/2023</t>
  </si>
  <si>
    <t>30/06/2023 31/07/2023</t>
  </si>
  <si>
    <t>STI</t>
  </si>
  <si>
    <t>DG</t>
  </si>
  <si>
    <t>GADR</t>
  </si>
  <si>
    <t>31/05/2023 29/09/2023</t>
  </si>
  <si>
    <t>13/04/2023 30/06/2023 19/07/2023</t>
  </si>
  <si>
    <t>Gabanelli Srl</t>
  </si>
  <si>
    <t>30/06/2023 31/07/2023 12/09/2023 29/09/2023 31/10/2023</t>
  </si>
  <si>
    <t>AM146_138</t>
  </si>
  <si>
    <t>AM146_139</t>
  </si>
  <si>
    <t>Z8A3DDA32E</t>
  </si>
  <si>
    <t>PREDISPOSIZIONE DEGLI ELABORATI TECNICI PROGETTUALI E
AUTORIZZATIVI, DIREZIONE LAVORI, CSP E CSE RELATIVAMENTE ALLA
IMPERMEABILIZZAZIONE DI DUE TRATTI DELLA ROGGIA DENOMINATA
ROGGIONE NEL COMUNE DI MORIMONDO (MI)</t>
  </si>
  <si>
    <t>Elenco degli operatori invitati a presentare offerta</t>
  </si>
  <si>
    <t>Phytosfera Srl</t>
  </si>
  <si>
    <t>Phytosfera Srl, Ing. Matteo Cerri, Studio AGN</t>
  </si>
  <si>
    <t>AM147_140</t>
  </si>
  <si>
    <t>AM147_141</t>
  </si>
  <si>
    <t>Grow S.n.c, Icreative Power Srl, WMR Group , Studio Samo 
Unique Offerta , Isola di Comunicazione</t>
  </si>
  <si>
    <t xml:space="preserve">Grow S.n.c. 
</t>
  </si>
  <si>
    <t>AM148_142</t>
  </si>
  <si>
    <t>AM148_143</t>
  </si>
  <si>
    <t>Z723BFFCC9;</t>
  </si>
  <si>
    <t>AFFIDAMENTO DIRETTO DEL CONTRATTO DI ACQUISTO DEL SERVIZIO DI CONVERSIONE DI N. 169 FILE CXF IN SHAPEFILE E RELATIVO
AGGIORNAMENTO DEL DATA BASE INFORMATIVO TERRITORIALE (GIS) DEI TERRENI IN USUFRUTTO A FONDAZIONE PATRIMONIO CA’ GRANDA</t>
  </si>
  <si>
    <t>Maggioli Spa</t>
  </si>
  <si>
    <t>COM</t>
  </si>
  <si>
    <t>Z8B3C12D96</t>
  </si>
  <si>
    <t>SERVIZIO DI CREAZIONE E GESTIONE DI UNA CAMPAGNA GOOGLE ADS</t>
  </si>
  <si>
    <t>AM149_144</t>
  </si>
  <si>
    <t>INCARICO PROFESSIONALE PER IL PROGETTO DITAGLIO SULLE PIANTE VALUTATE DA ABBATTERE NEL BOSCO SITO A CERANO DI INTELVI (CO) DI PROPRIETÀ DI FONDAZIONE IRCCS CA’ GRANDA OSPEDALE MAGGIORE POLICLINICO</t>
  </si>
  <si>
    <t>Dott Monti Stefano; Dott. Maierini Matteo</t>
  </si>
  <si>
    <t>Dott. Monti Stefano</t>
  </si>
  <si>
    <t>SERVIZIO
PER LA REALIZZAZIONE DI UN SISTEMA INFORMATIZZATO TERRITORIALE
(SIT) DEI TERRENI IN USUFRUTTO A FONDAZIONE PATRIMONIO CA'
GRANDA</t>
  </si>
  <si>
    <t>AM150_145</t>
  </si>
  <si>
    <t>AM150_146</t>
  </si>
  <si>
    <t>ZA13C22F7F</t>
  </si>
  <si>
    <t xml:space="preserve">Phytosfera Srl, </t>
  </si>
  <si>
    <t>Phytosfera SrL</t>
  </si>
  <si>
    <t>INCARICO PROFESSIONALE DI ASSISTENZA AGRONOMICA AL DOTT.TOMMASO GAIFAMI</t>
  </si>
  <si>
    <t>AM151_150</t>
  </si>
  <si>
    <t>Dott Tommaso Gaifami</t>
  </si>
  <si>
    <t>AM152_153</t>
  </si>
  <si>
    <t>AM152_154</t>
  </si>
  <si>
    <t>SERVIZIO PER L’ELABORAZIONE DI FILE DA TRASMETTERE AL MINISTERO DELL’ECONOMIA E DELLE FINANZE AI SENSI DELL’ART.2 COMMA 222 L.191/2009 – ANNUALITÀ 2020 – 2021 ‐ 2022</t>
  </si>
  <si>
    <t>Z3C3C5A321</t>
  </si>
  <si>
    <t>Progel Srl</t>
  </si>
  <si>
    <t>AM153_158</t>
  </si>
  <si>
    <t>AM153_157</t>
  </si>
  <si>
    <t>ZA13C7AC82</t>
  </si>
  <si>
    <t>SERVIZIO DIREDAZIONE DEL BILANCIO DI SOSTENIBILITA’ 2023 – 2024 - 2025 DELLA FONDAZIONE</t>
  </si>
  <si>
    <t xml:space="preserve">Next </t>
  </si>
  <si>
    <t>Next</t>
  </si>
  <si>
    <t>AM154_160</t>
  </si>
  <si>
    <t>AM154_161</t>
  </si>
  <si>
    <t>SERVIZIO DIMANUTENZIONE DEL VERDE PER IL TAGLIO E LA RIMOZIONE DI ALCUNIALBERI CADUTI IN LOCALITA’ COLLE BRIANZA (LC)</t>
  </si>
  <si>
    <t>Z853C90FBC</t>
  </si>
  <si>
    <t>Monte Crocione SSA;Giardini Brivio SAS; Pian delle Fontane AA</t>
  </si>
  <si>
    <t>Monte Crociione</t>
  </si>
  <si>
    <t>AM155_165</t>
  </si>
  <si>
    <t>INCARICO PROFESSIONALE PER IL MONITORAGGIO PERIODICO PGT E ASSISTENZA IN MATERIA URBANISTICA FINO AL 31/12/2024</t>
  </si>
  <si>
    <t>Arch Muraca</t>
  </si>
  <si>
    <t>AM156_166</t>
  </si>
  <si>
    <t>DELL’INCARICO PROFESSIONALE PER IL SUPPORTO ALLA SEGRETERIA ORGANIZZATIVA DEI CORSI DELL’ACCADEMIA CA’ GRANDA  EDIZIONE III 2023-2024</t>
  </si>
  <si>
    <t>dott.ssa Anna Senn</t>
  </si>
  <si>
    <t>FORNITURADEL SOFTWARE ARCGIS ALL’INTERNO PROGRAMMA ESRI NONPROFIT ORGANIZATION PROGRAM (NPOP) FINO AL 31.10.2024</t>
  </si>
  <si>
    <t>Z143CFC08D</t>
  </si>
  <si>
    <t>Teamdev Srl</t>
  </si>
  <si>
    <t>AM157_167</t>
  </si>
  <si>
    <t>AM57_168</t>
  </si>
  <si>
    <t>AM158_169</t>
  </si>
  <si>
    <t>DELL’INCARICO PROFESSIONALE PER LA REDAZIONE DEL
PROGETTO DI RIPIANTUMAZIONE, E DIREZIONE DELL’ESECUZIONE PER LA
RIPIANTUMAZIONE NEL BOSCO SITO A CERANO DI INTELVI (CO) DI PROPRIETÀ DI FONDAZIONE IRCCS CA’ GRANDA OSPEDALE MAGGIORE POLICLINICO»</t>
  </si>
  <si>
    <t>Dott. Stefano Monti</t>
  </si>
  <si>
    <t>AM159_175</t>
  </si>
  <si>
    <t>AM159_176</t>
  </si>
  <si>
    <t>SERVIZIO DI COORDINAMENTO DELLA SICUREZZA IN FASE DI PROGETTAZIONE
ED ESECUZIONE PER INTERVENTI DI MANUTENZIONE A CHIAMATA DA
EFFETTUARSI SUL PATRIMONIO EDILIZIO, SUI MANUFATTI IDRICI DI
CONTROLLO E REGOLAZIONE DELLE ACQUE, SULLE SPONDE ARGINI DEI
CANALI E ROGGE DI IRRIGAZIONE DI PROPRIETÀ DELLA FONDAZIONE IRCCS CA’ GRANDA OSPEDALE MAGGIORE POLICLINICO (DI SEGUITO, “FONDAZIONE
IRCSS”) NEL PERIODO COMPRESO TRA IL 01/01/2024 – 31/12/2026</t>
  </si>
  <si>
    <t>Arch. Luciano Caprio;Ing. Graziano Rustico;Arch. Michele Trotta</t>
  </si>
  <si>
    <t>Arch. Luciano Caprio</t>
  </si>
  <si>
    <t>ZF43D17C4A</t>
  </si>
  <si>
    <t>AM160_177</t>
  </si>
  <si>
    <t>dott.ssa Rossana Andreotti</t>
  </si>
  <si>
    <t>INCARICO PROFESSIONALE DI BUSINESS COACHING PER N. 6 DIPENDENTI DELLA FONDAZIONE PER UN TOTALE DI 84 ORE FINO AL 31/12/2023</t>
  </si>
  <si>
    <t>INCARICO PROFESSIONALE DI BUSINESS COACHING PER N. 2 DIPENDENTI DELLA FONDAZIONE PER UN TOTALE DI 25 ORE FINO AL 31/12/2023</t>
  </si>
  <si>
    <t>dott Angelo Salvi</t>
  </si>
  <si>
    <t>AM161_178</t>
  </si>
  <si>
    <t>AM162_179</t>
  </si>
  <si>
    <t xml:space="preserve">DELL’INCARICO PROFESSIONALE PER LA DOCENZA NEI CORSI DELL’ACCADEMIA CA’ GRANDA DEL 9 E 16 NOVEMBRE 2023 </t>
  </si>
  <si>
    <t>Prof. Frascarelli</t>
  </si>
  <si>
    <t>AM163_180</t>
  </si>
  <si>
    <t>AM163_181</t>
  </si>
  <si>
    <t xml:space="preserve"> FORNITURA DI N 18 MOBILI PER UFFICIO SERIE PRATICA E DI N 20 SEDUTE OPERATIVE MODELLO SAX RETE NERA</t>
  </si>
  <si>
    <t>Arredi3n</t>
  </si>
  <si>
    <t>AM164_185</t>
  </si>
  <si>
    <t>AM164_186</t>
  </si>
  <si>
    <t>Z553D5493</t>
  </si>
  <si>
    <t>Z5F3D32FA8</t>
  </si>
  <si>
    <t>Progetto Arca</t>
  </si>
  <si>
    <t>SERVIZIO DI UTILIZZO DI SPAZI ATTREZZATI COMPRENSIVO DEL SERVIZO DI CATERING PER UN MASSIMO DI 30 PARTECIPANTI PER N. 7 INCONTRI DELL’ACCADEMIA CA’ GRANDA</t>
  </si>
  <si>
    <t>AM165_187</t>
  </si>
  <si>
    <t>DELL’INCARICO PROFESSIONALE PER ASSISTENZA GRAFICA PER N 70 ORE FINO AL 31.12.2024</t>
  </si>
  <si>
    <t>SERVIZIO DI ASSEVERAZIONE DI UNA PERIZIA ESTIMATIVA DI UN ASSET DI TERRENI IN USUFRUTTO ALLA FONDAZIONE SITI AD ARLUNO (MI) ED IDENTIFICATI AL CATASTO TERRENI DEL COMUNE DI ARLUNO (MI) AL FG.15 MAPP. 100, 688, 691»</t>
  </si>
  <si>
    <t>AM166_188</t>
  </si>
  <si>
    <t>AM166_189</t>
  </si>
  <si>
    <t>Z9E3D334DF</t>
  </si>
  <si>
    <t>K2real</t>
  </si>
  <si>
    <t>AM167_190</t>
  </si>
  <si>
    <t>AM167_191</t>
  </si>
  <si>
    <t>SERVIZIO PER LA DETERMINAZIONE DEL CANONE DI LOCAZIONE DI N. 2 UNITÀ IMMOBILIARI SITUATE NEL COMUNE DI LODI VECCHIO (LO) ED IDENTIFICATI
AL CATASTO FABBRICATI DEL COMUNE DI LODI VECCHIO (LO) AL FG. 14 MAP. 23 SUB 101 e 701»</t>
  </si>
  <si>
    <t>Z3B3D63268</t>
  </si>
  <si>
    <t>Kroll Spa R.E.A.G; K2Real Srl; Cbre Valuation Spa</t>
  </si>
  <si>
    <t>AM168_192</t>
  </si>
  <si>
    <t>AM168_193</t>
  </si>
  <si>
    <t>SERVIZIO DI ASSISTENZA LEGALE AL R.U.P. PER AFFIDAMENTI DI CONTRATTI PASSIVI E ATTIVI FINO AL 31/12/2026 PER UN TOTALE DI 380 ORE</t>
  </si>
  <si>
    <t>Z8D3D65832</t>
  </si>
  <si>
    <t xml:space="preserve">Studio Legale Ass. Renna ; Studio Legale Ass. Bertacco Recla ; Studio Legale Ass. Robaldo Ferraris </t>
  </si>
  <si>
    <t xml:space="preserve">Studio Legale Ass. Renna </t>
  </si>
  <si>
    <t>AM169_201</t>
  </si>
  <si>
    <t>INCARICO PROFESSIONALE PER LA DOCENZA NEL CORSO DELL’ACCADEMIA CA’ GRANDA DEL 4 DICEMBRE 2023</t>
  </si>
  <si>
    <t>Prof.Tabacchi</t>
  </si>
  <si>
    <t>AM170_202</t>
  </si>
  <si>
    <t>IL SERVIZIO DICOMPUTAZIONE METRICA ESTIMATIVA E DIREZIONE LAVORI PER GLI INTERVENTI DI MANUTENZIONE A CHIAMATA DA EFFETTUARSI SUL PATRIMONIO EDILIZIO, SUI MANUFATTI IDRICI DI CONTROLLO EREGOLAZIONE DELLE ACQUE, SULLE SPONDE ARGINI DEI CANALI E ROGGE DI IRRIGAZIONE DI PROPRIETÀ DI FONDAZIONE IRCCS CA’ GRANDA OSPEDALEMAGGIORE POLICLINICO NEL PERIODO COMPRESO TRA IL 01/01/2024 –31/12/2026</t>
  </si>
  <si>
    <t>AM171_203</t>
  </si>
  <si>
    <t>AM171_204</t>
  </si>
  <si>
    <t>SERVIZIO DI ASSISTENZA SANITARIA INTEGRATIVA PER LE ANNUALITA’ 2024-2025 A FAVORE DEL PERSONALE DIPENDENTE DI FONDAZIONE PATRIMONIO CA’ GRANDA</t>
  </si>
  <si>
    <t>Cassa di Assistenza Previline</t>
  </si>
  <si>
    <t>ZCC3DA37C3</t>
  </si>
  <si>
    <t>AM172_205</t>
  </si>
  <si>
    <t>AM172_206</t>
  </si>
  <si>
    <t>ZB43D9FE4F</t>
  </si>
  <si>
    <t>SERVIZIO DI AGGIORNAMENTO SOFTWARE CONTABILITA’ DA ALIANTE A TSE CLOUD DI TEAMSYSTEM SPA</t>
  </si>
  <si>
    <t>Vicsam Sistemi Srl</t>
  </si>
  <si>
    <t>AM173_208</t>
  </si>
  <si>
    <t>AM173_209</t>
  </si>
  <si>
    <t>ACQUISTO DEL PACCHETTO SOFTWARE TSE CLOUD PER LA GESTIONE DELLA CONTABILITA’ FINO AL 1.12.2027</t>
  </si>
  <si>
    <t>Z4A3D9FC36</t>
  </si>
  <si>
    <t>TeamSystem Spa</t>
  </si>
  <si>
    <t>INCARICO PROFESSIONALE PER DIREZIONE SCIENTIFICA DELL’ACCADEMIA CA’ GRANDA</t>
  </si>
  <si>
    <t>AM174_210</t>
  </si>
  <si>
    <t>Prof Borreani</t>
  </si>
  <si>
    <t>AM175_211</t>
  </si>
  <si>
    <t>AM175_212</t>
  </si>
  <si>
    <t>Z863D736D6</t>
  </si>
  <si>
    <t>ACQUISTO DI SERVIZIO DI RIPARAZIONE CARROZZERIA DELL’AUTOVETTURA TARGATA FE891SS</t>
  </si>
  <si>
    <t>Car Service di Schidoni Massimo Snc</t>
  </si>
  <si>
    <t>DELL’INCARICO PROFESSIONALE PER LE ANALISI ESPLORATIVE PER L’IDENTIFICAZIONE DEGLI ELEMENTI DI SOPRASUOLO E SOTTOSUOLO IMPATTANTI SULLA SOSTANZA ORGANICA E CREAZIONE DI MODELLI CLASSICI E MACHINE LEARNING E REPORTISTICA (DASHBOARD INTERATTIVA)</t>
  </si>
  <si>
    <t>AM176_213</t>
  </si>
  <si>
    <t>Michele Russo</t>
  </si>
  <si>
    <t>AM177_214</t>
  </si>
  <si>
    <t>AM177_215</t>
  </si>
  <si>
    <t>SERVIZIO PERL’ATTIVAZIONE E PERSONALIZZAZIONE DELLA PIATTAFORMA INTEGRATA ABACO FARMER IN MODALITÀ SAAS A PARTIRE DAL 01/01/2024 FINO AL 31/12/2026</t>
  </si>
  <si>
    <t>Abaco;Easy Farm</t>
  </si>
  <si>
    <t>Abaco</t>
  </si>
  <si>
    <t>16/06/2023 06/07/2023 31/07/2023 31/08/2023 29/09/2023 31/10/2023 30/11/2023 10/01/2024</t>
  </si>
  <si>
    <t>31/07/2023 30/11/2023</t>
  </si>
  <si>
    <t xml:space="preserve"> 29/12/2023 15/03/2024</t>
  </si>
  <si>
    <t>29/12/2023 28/03/2024</t>
  </si>
  <si>
    <t>28/11/2023 30/04/2024</t>
  </si>
  <si>
    <t>29/12/23 04/03/24 15/03/24</t>
  </si>
  <si>
    <t>Acca Software Spa</t>
  </si>
  <si>
    <t>04/03/2024 31/07/2024</t>
  </si>
  <si>
    <t>20/11/2023 04/03/2024</t>
  </si>
  <si>
    <t xml:space="preserve">29/12/2023 31/12/2024 29/06/2024 </t>
  </si>
  <si>
    <t>31/08/2023 31/10/2023 29/12/2024 30/04/2024</t>
  </si>
  <si>
    <t>10/01/2024 10/02/2025</t>
  </si>
  <si>
    <t>AM170_87</t>
  </si>
  <si>
    <t xml:space="preserve">ing. Rustico - arch. Marco Sessa  - geom. Duranti - arch. Cassani </t>
  </si>
  <si>
    <t xml:space="preserve">ing. Rustico </t>
  </si>
  <si>
    <t>A038776012</t>
  </si>
  <si>
    <t>28/02/2025 31/3/2025</t>
  </si>
  <si>
    <t>30/04/2024 01/04/2025</t>
  </si>
  <si>
    <t>30/06/2023 28/06/2024 07/07/2025</t>
  </si>
  <si>
    <t>30/07/2025 17/09/2025</t>
  </si>
  <si>
    <t>28/06/2024 02/12/2024 30/12/2024 09/04/2025 29/08/2025 30/12/2025 30/01/2026 02/03/2026 30/04/2026 16/09/2026</t>
  </si>
  <si>
    <t>03/06/2024 30/05/2025 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</si>
</sst>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6" x14ac:knownFonts="1">
    <font>
      <sz val="11"/>
      <color theme="1"/>
      <name val="Calibri"/>
      <family val="2"/>
      <scheme val="minor"/>
    </font>
    <font>
      <sz val="11"/>
      <color theme="1"/>
      <name val="Calibri"/>
      <family val="2"/>
      <scheme val="minor"/>
    </font>
    <font>
      <sz val="11"/>
      <color theme="1"/>
      <name val="Garamond"/>
      <family val="1"/>
    </font>
    <font>
      <b/>
      <sz val="11"/>
      <color theme="1"/>
      <name val="Garamond"/>
      <family val="1"/>
    </font>
    <font>
      <b/>
      <sz val="11"/>
      <name val="Garamond"/>
      <family val="1"/>
    </font>
    <font>
      <sz val="12"/>
      <color theme="1"/>
      <name val="Garamond"/>
      <family val="1"/>
    </font>
  </fonts>
  <fills count="5">
    <fill>
      <patternFill patternType="none"/>
    </fill>
    <fill>
      <patternFill patternType="gray125"/>
    </fill>
    <fill>
      <patternFill patternType="solid">
        <fgColor theme="4"/>
        <bgColor indexed="64"/>
      </patternFill>
    </fill>
    <fill>
      <patternFill patternType="solid">
        <fgColor theme="2" tint="-9.9978637043366805E-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45">
    <xf numFmtId="0" fontId="0" fillId="0" borderId="0" xfId="0"/>
    <xf numFmtId="0" fontId="2" fillId="0" borderId="0" xfId="0" applyFont="1"/>
    <xf numFmtId="0" fontId="3" fillId="2" borderId="1" xfId="0"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44" fontId="3" fillId="2" borderId="1" xfId="2" applyFont="1" applyFill="1" applyBorder="1" applyAlignment="1">
      <alignment horizontal="center" vertical="center" wrapText="1"/>
    </xf>
    <xf numFmtId="164" fontId="2" fillId="0" borderId="0" xfId="1" applyFont="1"/>
    <xf numFmtId="0" fontId="2" fillId="0" borderId="1" xfId="0" applyFont="1" applyBorder="1"/>
    <xf numFmtId="0" fontId="2" fillId="0" borderId="1" xfId="0" quotePrefix="1" applyFont="1" applyBorder="1" applyAlignment="1">
      <alignment horizontal="center"/>
    </xf>
    <xf numFmtId="164" fontId="2" fillId="0" borderId="1" xfId="1" applyFont="1" applyBorder="1"/>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0" fontId="2" fillId="0" borderId="0" xfId="0" applyFont="1" applyAlignment="1">
      <alignment horizontal="center"/>
    </xf>
    <xf numFmtId="14" fontId="2" fillId="0" borderId="1" xfId="0" applyNumberFormat="1" applyFont="1" applyBorder="1" applyAlignment="1">
      <alignment horizontal="center"/>
    </xf>
    <xf numFmtId="164" fontId="3" fillId="2" borderId="1" xfId="1" applyFont="1" applyFill="1" applyBorder="1" applyAlignment="1">
      <alignment horizontal="center" vertical="center" wrapText="1"/>
    </xf>
    <xf numFmtId="0" fontId="5" fillId="0" borderId="0" xfId="0" applyFont="1" applyAlignment="1">
      <alignment wrapText="1"/>
    </xf>
    <xf numFmtId="0" fontId="2" fillId="0" borderId="0" xfId="0" applyFont="1" applyAlignment="1">
      <alignment wrapText="1"/>
    </xf>
    <xf numFmtId="14" fontId="2" fillId="0" borderId="1" xfId="0" applyNumberFormat="1" applyFont="1" applyBorder="1" applyAlignment="1">
      <alignment wrapText="1"/>
    </xf>
    <xf numFmtId="0" fontId="2" fillId="0" borderId="1" xfId="0" applyFont="1" applyBorder="1" applyAlignment="1">
      <alignment vertical="center" wrapText="1"/>
    </xf>
    <xf numFmtId="164" fontId="2" fillId="3" borderId="1" xfId="1" applyFont="1" applyFill="1" applyBorder="1"/>
    <xf numFmtId="164" fontId="2" fillId="0" borderId="1" xfId="1" applyFont="1" applyFill="1" applyBorder="1"/>
    <xf numFmtId="14" fontId="2" fillId="0" borderId="1" xfId="0" applyNumberFormat="1" applyFont="1" applyBorder="1" applyAlignment="1">
      <alignment horizontal="center" wrapText="1"/>
    </xf>
    <xf numFmtId="14" fontId="2" fillId="3" borderId="1" xfId="0" applyNumberFormat="1" applyFont="1" applyFill="1" applyBorder="1" applyAlignment="1">
      <alignment horizontal="center" wrapText="1"/>
    </xf>
    <xf numFmtId="0" fontId="2" fillId="0" borderId="0" xfId="0" applyFont="1" applyAlignment="1">
      <alignment horizontal="center" wrapText="1"/>
    </xf>
    <xf numFmtId="2" fontId="2" fillId="0" borderId="1" xfId="1" applyNumberFormat="1" applyFont="1" applyBorder="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quotePrefix="1"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vertical="center"/>
    </xf>
    <xf numFmtId="164" fontId="2" fillId="0" borderId="1" xfId="1" applyFont="1" applyBorder="1" applyAlignment="1">
      <alignment vertical="center"/>
    </xf>
    <xf numFmtId="14" fontId="2" fillId="0" borderId="1" xfId="0" applyNumberFormat="1" applyFont="1" applyBorder="1" applyAlignment="1">
      <alignment horizontal="center" vertical="center" wrapText="1"/>
    </xf>
    <xf numFmtId="0" fontId="2" fillId="0" borderId="0" xfId="0" applyFont="1" applyAlignment="1">
      <alignment vertical="center"/>
    </xf>
    <xf numFmtId="12" fontId="2" fillId="0" borderId="1" xfId="1" applyNumberFormat="1" applyFont="1" applyBorder="1"/>
    <xf numFmtId="164" fontId="2" fillId="0" borderId="1" xfId="1" applyFont="1" applyBorder="1" applyAlignment="1">
      <alignment horizontal="center"/>
    </xf>
    <xf numFmtId="0" fontId="2" fillId="0" borderId="1" xfId="0" applyFont="1" applyBorder="1" applyAlignment="1">
      <alignment horizontal="left"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1" xfId="0" quotePrefix="1" applyFont="1" applyBorder="1" applyAlignment="1">
      <alignment horizontal="left" vertical="center"/>
    </xf>
    <xf numFmtId="14"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164" fontId="2" fillId="0" borderId="1" xfId="1" applyFont="1" applyBorder="1" applyAlignment="1">
      <alignment horizontal="left" vertical="center"/>
    </xf>
    <xf numFmtId="0" fontId="2" fillId="0" borderId="0" xfId="0" applyFont="1" applyAlignment="1">
      <alignment horizontal="left" vertical="center"/>
    </xf>
    <xf numFmtId="164" fontId="2" fillId="4" borderId="1" xfId="1" applyFont="1" applyFill="1" applyBorder="1"/>
    <xf numFmtId="14" fontId="2" fillId="4" borderId="1" xfId="0" applyNumberFormat="1" applyFont="1" applyFill="1" applyBorder="1" applyAlignment="1">
      <alignment horizontal="center" wrapText="1"/>
    </xf>
  </cellXfs>
  <cellStyles count="3">
    <cellStyle name="Migliaia" xfId="1" builtinId="3"/>
    <cellStyle name="Normale"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3"/>
  <sheetViews>
    <sheetView tabSelected="1" topLeftCell="I1" zoomScale="82" workbookViewId="0">
      <pane ySplit="1" topLeftCell="A68" activePane="bottomLeft" state="frozen"/>
      <selection activeCell="B1" sqref="B1"/>
      <selection pane="bottomLeft" activeCell="S68" sqref="S68"/>
    </sheetView>
  </sheetViews>
  <sheetFormatPr defaultColWidth="25.5703125" defaultRowHeight="15" x14ac:dyDescent="0.25"/>
  <cols>
    <col min="1" max="2" width="14" style="1" customWidth="1"/>
    <col min="3" max="3" width="5.7109375" style="1" customWidth="1"/>
    <col min="4" max="4" width="12.42578125" style="12" customWidth="1"/>
    <col min="5" max="5" width="12.7109375" style="12" customWidth="1"/>
    <col min="6" max="6" width="15" style="1" bestFit="1" customWidth="1"/>
    <col min="7" max="7" width="9.28515625" style="1" customWidth="1"/>
    <col min="8" max="8" width="13.7109375" style="12" customWidth="1"/>
    <col min="9" max="9" width="101.42578125" style="16" bestFit="1" customWidth="1"/>
    <col min="10" max="10" width="12.85546875" style="12" customWidth="1"/>
    <col min="11" max="11" width="37.140625" style="1" customWidth="1"/>
    <col min="12" max="12" width="6.140625" style="12" customWidth="1"/>
    <col min="13" max="13" width="27.28515625" style="1" customWidth="1"/>
    <col min="14" max="14" width="14.5703125" style="1" customWidth="1"/>
    <col min="15" max="16" width="11.85546875" style="1" bestFit="1" customWidth="1"/>
    <col min="17" max="17" width="12.85546875" style="1" bestFit="1" customWidth="1"/>
    <col min="18" max="18" width="17" style="5" customWidth="1"/>
    <col min="19" max="19" width="17.42578125" style="23" bestFit="1" customWidth="1"/>
    <col min="20" max="16384" width="25.5703125" style="1"/>
  </cols>
  <sheetData>
    <row r="1" spans="1:19" s="12" customFormat="1" ht="45" x14ac:dyDescent="0.25">
      <c r="A1" s="2" t="s">
        <v>12</v>
      </c>
      <c r="B1" s="2" t="s">
        <v>0</v>
      </c>
      <c r="C1" s="2" t="s">
        <v>3</v>
      </c>
      <c r="D1" s="2" t="s">
        <v>17</v>
      </c>
      <c r="E1" s="3" t="s">
        <v>18</v>
      </c>
      <c r="F1" s="2" t="s">
        <v>4</v>
      </c>
      <c r="G1" s="2" t="s">
        <v>5</v>
      </c>
      <c r="H1" s="2" t="s">
        <v>78</v>
      </c>
      <c r="I1" s="2" t="s">
        <v>6</v>
      </c>
      <c r="J1" s="2" t="s">
        <v>16</v>
      </c>
      <c r="K1" s="2" t="s">
        <v>285</v>
      </c>
      <c r="L1" s="2" t="s">
        <v>15</v>
      </c>
      <c r="M1" s="2" t="s">
        <v>7</v>
      </c>
      <c r="N1" s="4" t="s">
        <v>8</v>
      </c>
      <c r="O1" s="4" t="s">
        <v>9</v>
      </c>
      <c r="P1" s="4" t="s">
        <v>14</v>
      </c>
      <c r="Q1" s="4" t="s">
        <v>10</v>
      </c>
      <c r="R1" s="14" t="s">
        <v>11</v>
      </c>
      <c r="S1" s="2" t="s">
        <v>13</v>
      </c>
    </row>
    <row r="2" spans="1:19" x14ac:dyDescent="0.25">
      <c r="A2" s="9"/>
      <c r="B2" s="9"/>
      <c r="C2" s="7"/>
      <c r="D2" s="9"/>
      <c r="E2" s="13"/>
      <c r="F2" s="6"/>
      <c r="G2" s="6"/>
      <c r="H2" s="9"/>
      <c r="I2" s="10"/>
      <c r="J2" s="9"/>
      <c r="K2" s="6"/>
      <c r="L2" s="9"/>
      <c r="M2" s="6"/>
      <c r="N2" s="8"/>
      <c r="O2" s="8"/>
      <c r="P2" s="8"/>
      <c r="Q2" s="8"/>
      <c r="R2" s="8"/>
      <c r="S2" s="21"/>
    </row>
    <row r="3" spans="1:19" ht="30" x14ac:dyDescent="0.25">
      <c r="A3" s="9" t="s">
        <v>19</v>
      </c>
      <c r="B3" s="9" t="s">
        <v>20</v>
      </c>
      <c r="C3" s="7" t="s">
        <v>1</v>
      </c>
      <c r="D3" s="9"/>
      <c r="E3" s="13">
        <v>44939</v>
      </c>
      <c r="F3" s="6" t="s">
        <v>21</v>
      </c>
      <c r="G3" s="6"/>
      <c r="H3" s="9" t="s">
        <v>22</v>
      </c>
      <c r="I3" s="10" t="s">
        <v>23</v>
      </c>
      <c r="J3" s="9"/>
      <c r="K3" s="6"/>
      <c r="L3" s="9"/>
      <c r="M3" s="6" t="s">
        <v>24</v>
      </c>
      <c r="N3" s="8">
        <v>3500</v>
      </c>
      <c r="O3" s="8"/>
      <c r="P3" s="8">
        <f>+N3*0.22</f>
        <v>770</v>
      </c>
      <c r="Q3" s="8">
        <f>N3+O3+P3</f>
        <v>4270</v>
      </c>
      <c r="R3" s="8">
        <v>3500</v>
      </c>
      <c r="S3" s="21">
        <v>45016</v>
      </c>
    </row>
    <row r="4" spans="1:19" ht="45" x14ac:dyDescent="0.25">
      <c r="A4" s="9"/>
      <c r="B4" s="9"/>
      <c r="C4" s="7" t="s">
        <v>1</v>
      </c>
      <c r="D4" s="9" t="s">
        <v>25</v>
      </c>
      <c r="E4" s="13">
        <v>44939</v>
      </c>
      <c r="F4" s="6"/>
      <c r="G4" s="6"/>
      <c r="H4" s="9" t="s">
        <v>27</v>
      </c>
      <c r="I4" s="10" t="s">
        <v>26</v>
      </c>
      <c r="J4" s="9"/>
      <c r="K4" s="6"/>
      <c r="L4" s="9"/>
      <c r="M4" s="6" t="s">
        <v>28</v>
      </c>
      <c r="N4" s="8">
        <f>5635+845.25</f>
        <v>6480.25</v>
      </c>
      <c r="O4" s="8">
        <f>N4*4/100</f>
        <v>259.20999999999998</v>
      </c>
      <c r="P4" s="8">
        <f>+(N4+O4)*0.22</f>
        <v>1482.6812</v>
      </c>
      <c r="Q4" s="8">
        <f>N4+O4+P4+500</f>
        <v>8722.1412</v>
      </c>
      <c r="R4" s="8">
        <v>4424.83</v>
      </c>
      <c r="S4" s="21">
        <v>45107</v>
      </c>
    </row>
    <row r="5" spans="1:19" x14ac:dyDescent="0.25">
      <c r="A5" s="9">
        <f>1353+1355+1285+1346+1351+1361</f>
        <v>8051</v>
      </c>
      <c r="B5" s="9" t="s">
        <v>29</v>
      </c>
      <c r="C5" s="7" t="s">
        <v>1</v>
      </c>
      <c r="D5" s="9"/>
      <c r="E5" s="13">
        <v>44946</v>
      </c>
      <c r="F5" s="6" t="s">
        <v>30</v>
      </c>
      <c r="G5" s="6"/>
      <c r="H5" s="9" t="s">
        <v>22</v>
      </c>
      <c r="I5" s="10" t="s">
        <v>31</v>
      </c>
      <c r="J5" s="9"/>
      <c r="K5" s="6"/>
      <c r="L5" s="9"/>
      <c r="M5" s="6" t="s">
        <v>32</v>
      </c>
      <c r="N5" s="8">
        <f>(6514.8/1.22)</f>
        <v>5340</v>
      </c>
      <c r="O5" s="8"/>
      <c r="P5" s="8">
        <f>+(N5+O5)*0.22</f>
        <v>1174.8</v>
      </c>
      <c r="Q5" s="8">
        <f>N5+O5+P5+180</f>
        <v>6694.8</v>
      </c>
      <c r="R5" s="8"/>
      <c r="S5" s="21"/>
    </row>
    <row r="6" spans="1:19" ht="30" x14ac:dyDescent="0.25">
      <c r="A6" s="9"/>
      <c r="B6" s="9"/>
      <c r="C6" s="7" t="s">
        <v>1</v>
      </c>
      <c r="D6" s="9" t="s">
        <v>33</v>
      </c>
      <c r="E6" s="13">
        <v>44959</v>
      </c>
      <c r="F6" s="6"/>
      <c r="G6" s="6"/>
      <c r="H6" s="9" t="s">
        <v>34</v>
      </c>
      <c r="I6" s="10" t="s">
        <v>35</v>
      </c>
      <c r="J6" s="9"/>
      <c r="K6" s="6"/>
      <c r="L6" s="9"/>
      <c r="M6" s="6" t="s">
        <v>36</v>
      </c>
      <c r="N6" s="8">
        <v>400</v>
      </c>
      <c r="O6" s="8"/>
      <c r="P6" s="8"/>
      <c r="Q6" s="8">
        <f t="shared" ref="Q6:Q66" si="0">N6+O6+P6</f>
        <v>400</v>
      </c>
      <c r="R6" s="8">
        <v>400</v>
      </c>
      <c r="S6" s="21">
        <v>45021</v>
      </c>
    </row>
    <row r="7" spans="1:19" ht="30" x14ac:dyDescent="0.25">
      <c r="A7" s="9"/>
      <c r="B7" s="9"/>
      <c r="C7" s="7"/>
      <c r="D7" s="9" t="s">
        <v>37</v>
      </c>
      <c r="E7" s="13">
        <v>44960</v>
      </c>
      <c r="F7" s="6"/>
      <c r="G7" s="6"/>
      <c r="H7" s="9" t="s">
        <v>275</v>
      </c>
      <c r="I7" s="10" t="s">
        <v>38</v>
      </c>
      <c r="J7" s="9"/>
      <c r="K7" s="6"/>
      <c r="L7" s="9"/>
      <c r="M7" s="6" t="s">
        <v>39</v>
      </c>
      <c r="N7" s="8">
        <f>150*100</f>
        <v>15000</v>
      </c>
      <c r="O7" s="8">
        <f>N7*4/100</f>
        <v>600</v>
      </c>
      <c r="P7" s="8">
        <f>+(N7+O7)*0.22</f>
        <v>3432</v>
      </c>
      <c r="Q7" s="8">
        <f t="shared" si="0"/>
        <v>19032</v>
      </c>
      <c r="R7" s="8">
        <v>12012</v>
      </c>
      <c r="S7" s="21" t="s">
        <v>277</v>
      </c>
    </row>
    <row r="8" spans="1:19" ht="45" x14ac:dyDescent="0.25">
      <c r="A8" s="9" t="s">
        <v>40</v>
      </c>
      <c r="B8" s="9" t="s">
        <v>48</v>
      </c>
      <c r="C8" s="7" t="s">
        <v>2</v>
      </c>
      <c r="D8" s="9"/>
      <c r="E8" s="13">
        <v>44960</v>
      </c>
      <c r="F8" s="6" t="s">
        <v>43</v>
      </c>
      <c r="G8" s="6"/>
      <c r="H8" s="9" t="s">
        <v>42</v>
      </c>
      <c r="I8" s="10" t="s">
        <v>41</v>
      </c>
      <c r="J8" s="9"/>
      <c r="K8" s="6"/>
      <c r="L8" s="9"/>
      <c r="M8" s="6" t="s">
        <v>44</v>
      </c>
      <c r="N8" s="8">
        <f>566.21/1.22</f>
        <v>464.10655737704923</v>
      </c>
      <c r="O8" s="8"/>
      <c r="P8" s="8">
        <f>+(N8+O8)*0.22</f>
        <v>102.10344262295084</v>
      </c>
      <c r="Q8" s="8">
        <f t="shared" si="0"/>
        <v>566.21</v>
      </c>
      <c r="R8" s="8"/>
      <c r="S8" s="21"/>
    </row>
    <row r="9" spans="1:19" ht="45" x14ac:dyDescent="0.25">
      <c r="A9" s="9"/>
      <c r="B9" s="9" t="s">
        <v>46</v>
      </c>
      <c r="C9" s="7" t="s">
        <v>2</v>
      </c>
      <c r="D9" s="9"/>
      <c r="E9" s="13">
        <v>45045</v>
      </c>
      <c r="F9" s="6" t="s">
        <v>43</v>
      </c>
      <c r="G9" s="6"/>
      <c r="H9" s="9" t="s">
        <v>42</v>
      </c>
      <c r="I9" s="10" t="s">
        <v>45</v>
      </c>
      <c r="J9" s="9"/>
      <c r="K9" s="6"/>
      <c r="L9" s="9"/>
      <c r="M9" s="6" t="s">
        <v>44</v>
      </c>
      <c r="N9" s="8">
        <f>1011.12/1.22</f>
        <v>828.78688524590166</v>
      </c>
      <c r="O9" s="8"/>
      <c r="P9" s="8">
        <f>+(N9+O9)*0.22</f>
        <v>182.33311475409837</v>
      </c>
      <c r="Q9" s="8">
        <f t="shared" si="0"/>
        <v>1011.12</v>
      </c>
      <c r="R9" s="8">
        <v>828.79</v>
      </c>
      <c r="S9" s="21">
        <v>45048</v>
      </c>
    </row>
    <row r="10" spans="1:19" ht="45" x14ac:dyDescent="0.25">
      <c r="A10" s="9"/>
      <c r="B10" s="9"/>
      <c r="C10" s="7" t="s">
        <v>1</v>
      </c>
      <c r="D10" s="9" t="s">
        <v>47</v>
      </c>
      <c r="E10" s="13">
        <v>44963</v>
      </c>
      <c r="F10" s="6"/>
      <c r="G10" s="6"/>
      <c r="H10" s="9" t="s">
        <v>27</v>
      </c>
      <c r="I10" s="10" t="s">
        <v>49</v>
      </c>
      <c r="J10" s="9"/>
      <c r="K10" s="6"/>
      <c r="L10" s="9"/>
      <c r="M10" s="6" t="s">
        <v>50</v>
      </c>
      <c r="N10" s="8">
        <v>6000</v>
      </c>
      <c r="O10" s="8">
        <v>240</v>
      </c>
      <c r="P10" s="8">
        <f t="shared" ref="P10:P15" si="1">(N10+O10)*0.22</f>
        <v>1372.8</v>
      </c>
      <c r="Q10" s="8">
        <f>N10+O10+P10+1000</f>
        <v>8612.7999999999993</v>
      </c>
      <c r="R10" s="8">
        <f>2874.66+1989.67+1019.2</f>
        <v>5883.53</v>
      </c>
      <c r="S10" s="21" t="s">
        <v>269</v>
      </c>
    </row>
    <row r="11" spans="1:19" x14ac:dyDescent="0.25">
      <c r="A11" s="9"/>
      <c r="B11" s="9"/>
      <c r="C11" s="7" t="s">
        <v>1</v>
      </c>
      <c r="D11" s="9" t="s">
        <v>51</v>
      </c>
      <c r="E11" s="13">
        <v>44964</v>
      </c>
      <c r="F11" s="6"/>
      <c r="G11" s="6"/>
      <c r="H11" s="9" t="s">
        <v>27</v>
      </c>
      <c r="I11" s="10" t="s">
        <v>52</v>
      </c>
      <c r="J11" s="9"/>
      <c r="K11" s="6"/>
      <c r="L11" s="9"/>
      <c r="M11" s="6" t="s">
        <v>28</v>
      </c>
      <c r="N11" s="8">
        <v>8050</v>
      </c>
      <c r="O11" s="8">
        <v>322</v>
      </c>
      <c r="P11" s="8">
        <f t="shared" si="1"/>
        <v>1841.84</v>
      </c>
      <c r="Q11" s="8">
        <f t="shared" si="0"/>
        <v>10213.84</v>
      </c>
      <c r="R11" s="8">
        <v>8050</v>
      </c>
      <c r="S11" s="21">
        <v>45355</v>
      </c>
    </row>
    <row r="12" spans="1:19" x14ac:dyDescent="0.25">
      <c r="A12" s="9"/>
      <c r="B12" s="9"/>
      <c r="C12" s="7" t="s">
        <v>1</v>
      </c>
      <c r="D12" s="9" t="s">
        <v>53</v>
      </c>
      <c r="E12" s="13">
        <v>44964</v>
      </c>
      <c r="F12" s="6"/>
      <c r="G12" s="6"/>
      <c r="H12" s="9" t="s">
        <v>275</v>
      </c>
      <c r="I12" s="10" t="s">
        <v>54</v>
      </c>
      <c r="J12" s="9"/>
      <c r="K12" s="6"/>
      <c r="L12" s="9"/>
      <c r="M12" s="6" t="s">
        <v>55</v>
      </c>
      <c r="N12" s="8">
        <v>2700</v>
      </c>
      <c r="O12" s="8">
        <v>108</v>
      </c>
      <c r="P12" s="8">
        <f t="shared" si="1"/>
        <v>617.76</v>
      </c>
      <c r="Q12" s="8">
        <f t="shared" si="0"/>
        <v>3425.76</v>
      </c>
      <c r="R12" s="8">
        <v>327.60000000000002</v>
      </c>
      <c r="S12" s="21">
        <v>45169</v>
      </c>
    </row>
    <row r="13" spans="1:19" x14ac:dyDescent="0.25">
      <c r="A13" s="9" t="s">
        <v>56</v>
      </c>
      <c r="B13" s="9" t="s">
        <v>57</v>
      </c>
      <c r="C13" s="7" t="s">
        <v>2</v>
      </c>
      <c r="D13" s="9"/>
      <c r="E13" s="13">
        <v>44966</v>
      </c>
      <c r="F13" s="6"/>
      <c r="G13" s="6"/>
      <c r="H13" s="9" t="s">
        <v>27</v>
      </c>
      <c r="I13" s="10" t="s">
        <v>58</v>
      </c>
      <c r="J13" s="9">
        <v>4</v>
      </c>
      <c r="K13" s="6" t="s">
        <v>59</v>
      </c>
      <c r="L13" s="9">
        <v>4</v>
      </c>
      <c r="M13" s="6" t="s">
        <v>60</v>
      </c>
      <c r="N13" s="8">
        <v>5000</v>
      </c>
      <c r="O13" s="8"/>
      <c r="P13" s="8">
        <f t="shared" si="1"/>
        <v>1100</v>
      </c>
      <c r="Q13" s="8">
        <f t="shared" si="0"/>
        <v>6100</v>
      </c>
      <c r="R13" s="8">
        <v>5000</v>
      </c>
      <c r="S13" s="21">
        <v>45138</v>
      </c>
    </row>
    <row r="14" spans="1:19" ht="75" x14ac:dyDescent="0.25">
      <c r="A14" s="9" t="s">
        <v>61</v>
      </c>
      <c r="B14" s="9" t="s">
        <v>62</v>
      </c>
      <c r="C14" s="7" t="s">
        <v>1</v>
      </c>
      <c r="D14" s="9"/>
      <c r="E14" s="13">
        <v>44972</v>
      </c>
      <c r="F14" s="6"/>
      <c r="G14" s="6"/>
      <c r="H14" s="9" t="s">
        <v>42</v>
      </c>
      <c r="I14" s="10" t="s">
        <v>63</v>
      </c>
      <c r="J14" s="9">
        <v>4</v>
      </c>
      <c r="K14" s="6" t="s">
        <v>65</v>
      </c>
      <c r="L14" s="9">
        <v>2</v>
      </c>
      <c r="M14" s="6" t="s">
        <v>64</v>
      </c>
      <c r="N14" s="8">
        <v>14840</v>
      </c>
      <c r="O14" s="8">
        <v>593.6</v>
      </c>
      <c r="P14" s="8">
        <f t="shared" si="1"/>
        <v>3395.3920000000003</v>
      </c>
      <c r="Q14" s="8">
        <f t="shared" si="0"/>
        <v>18828.992000000002</v>
      </c>
      <c r="R14" s="8">
        <v>8153.6</v>
      </c>
      <c r="S14" s="21" t="s">
        <v>280</v>
      </c>
    </row>
    <row r="15" spans="1:19" ht="45" x14ac:dyDescent="0.25">
      <c r="A15" s="9"/>
      <c r="B15" s="9"/>
      <c r="C15" s="7" t="s">
        <v>1</v>
      </c>
      <c r="D15" s="9" t="s">
        <v>66</v>
      </c>
      <c r="E15" s="13">
        <v>44971</v>
      </c>
      <c r="F15" s="6"/>
      <c r="G15" s="6"/>
      <c r="H15" s="9" t="s">
        <v>22</v>
      </c>
      <c r="I15" s="10" t="s">
        <v>67</v>
      </c>
      <c r="J15" s="9"/>
      <c r="K15" s="6"/>
      <c r="L15" s="9"/>
      <c r="M15" s="6" t="s">
        <v>68</v>
      </c>
      <c r="N15" s="8">
        <v>600</v>
      </c>
      <c r="O15" s="8"/>
      <c r="P15" s="8">
        <f t="shared" si="1"/>
        <v>132</v>
      </c>
      <c r="Q15" s="8">
        <f t="shared" si="0"/>
        <v>732</v>
      </c>
      <c r="R15" s="8">
        <v>600</v>
      </c>
      <c r="S15" s="21">
        <v>45016</v>
      </c>
    </row>
    <row r="16" spans="1:19" x14ac:dyDescent="0.25">
      <c r="A16" s="9"/>
      <c r="B16" s="9"/>
      <c r="C16" s="7" t="s">
        <v>1</v>
      </c>
      <c r="D16" s="9" t="s">
        <v>69</v>
      </c>
      <c r="E16" s="13"/>
      <c r="F16" s="6"/>
      <c r="G16" s="6"/>
      <c r="H16" s="9" t="s">
        <v>34</v>
      </c>
      <c r="I16" s="10" t="s">
        <v>70</v>
      </c>
      <c r="J16" s="9"/>
      <c r="K16" s="6"/>
      <c r="L16" s="9"/>
      <c r="M16" s="6" t="s">
        <v>71</v>
      </c>
      <c r="N16" s="8"/>
      <c r="O16" s="8"/>
      <c r="P16" s="8"/>
      <c r="Q16" s="8">
        <v>700</v>
      </c>
      <c r="R16" s="8">
        <v>700</v>
      </c>
      <c r="S16" s="21">
        <v>44991</v>
      </c>
    </row>
    <row r="17" spans="1:19" x14ac:dyDescent="0.25">
      <c r="A17" s="9" t="s">
        <v>72</v>
      </c>
      <c r="B17" s="9" t="s">
        <v>73</v>
      </c>
      <c r="C17" s="7" t="s">
        <v>1</v>
      </c>
      <c r="D17" s="9"/>
      <c r="E17" s="13">
        <v>44981</v>
      </c>
      <c r="F17" s="6" t="s">
        <v>77</v>
      </c>
      <c r="G17" s="6"/>
      <c r="H17" s="9" t="s">
        <v>27</v>
      </c>
      <c r="I17" s="10" t="s">
        <v>74</v>
      </c>
      <c r="J17" s="9">
        <v>3</v>
      </c>
      <c r="K17" s="6" t="s">
        <v>76</v>
      </c>
      <c r="L17" s="9">
        <v>3</v>
      </c>
      <c r="M17" s="6" t="s">
        <v>75</v>
      </c>
      <c r="N17" s="8">
        <v>930</v>
      </c>
      <c r="O17" s="8"/>
      <c r="P17" s="8">
        <f t="shared" ref="P17:P65" si="2">(N17+O17)*0.22</f>
        <v>204.6</v>
      </c>
      <c r="Q17" s="8">
        <f t="shared" si="0"/>
        <v>1134.5999999999999</v>
      </c>
      <c r="R17" s="8">
        <v>930</v>
      </c>
      <c r="S17" s="21">
        <v>45048</v>
      </c>
    </row>
    <row r="18" spans="1:19" ht="45" x14ac:dyDescent="0.25">
      <c r="A18" s="9"/>
      <c r="B18" s="9"/>
      <c r="C18" s="7" t="s">
        <v>1</v>
      </c>
      <c r="D18" s="9" t="s">
        <v>79</v>
      </c>
      <c r="E18" s="13">
        <v>44987</v>
      </c>
      <c r="F18" s="6"/>
      <c r="G18" s="6"/>
      <c r="H18" s="9" t="s">
        <v>275</v>
      </c>
      <c r="I18" s="10" t="s">
        <v>80</v>
      </c>
      <c r="J18" s="9"/>
      <c r="K18" s="6"/>
      <c r="L18" s="9"/>
      <c r="M18" s="6" t="s">
        <v>81</v>
      </c>
      <c r="N18" s="8">
        <f>85.4*100</f>
        <v>8540</v>
      </c>
      <c r="O18" s="8"/>
      <c r="P18" s="8"/>
      <c r="Q18" s="8">
        <f t="shared" si="0"/>
        <v>8540</v>
      </c>
      <c r="R18" s="8">
        <f>3500+770+2660+800</f>
        <v>7730</v>
      </c>
      <c r="S18" s="21" t="s">
        <v>278</v>
      </c>
    </row>
    <row r="19" spans="1:19" ht="30" x14ac:dyDescent="0.25">
      <c r="A19" s="9"/>
      <c r="B19" s="9"/>
      <c r="C19" s="7" t="s">
        <v>1</v>
      </c>
      <c r="D19" s="9" t="s">
        <v>82</v>
      </c>
      <c r="E19" s="13">
        <v>45001</v>
      </c>
      <c r="F19" s="6"/>
      <c r="G19" s="6"/>
      <c r="H19" s="9" t="s">
        <v>27</v>
      </c>
      <c r="I19" s="10" t="s">
        <v>83</v>
      </c>
      <c r="J19" s="9"/>
      <c r="K19" s="6"/>
      <c r="L19" s="9"/>
      <c r="M19" s="6" t="s">
        <v>84</v>
      </c>
      <c r="N19" s="8">
        <v>2800</v>
      </c>
      <c r="O19" s="8"/>
      <c r="P19" s="8">
        <f t="shared" si="2"/>
        <v>616</v>
      </c>
      <c r="Q19" s="8">
        <f t="shared" si="0"/>
        <v>3416</v>
      </c>
      <c r="R19" s="8"/>
      <c r="S19" s="21"/>
    </row>
    <row r="20" spans="1:19" x14ac:dyDescent="0.25">
      <c r="A20" s="9"/>
      <c r="B20" s="9"/>
      <c r="C20" s="7" t="s">
        <v>1</v>
      </c>
      <c r="D20" s="9" t="s">
        <v>85</v>
      </c>
      <c r="E20" s="13">
        <v>45013</v>
      </c>
      <c r="F20" s="6"/>
      <c r="G20" s="6"/>
      <c r="H20" s="9" t="s">
        <v>34</v>
      </c>
      <c r="I20" s="10" t="s">
        <v>86</v>
      </c>
      <c r="J20" s="9"/>
      <c r="K20" s="6"/>
      <c r="L20" s="9"/>
      <c r="M20" s="6" t="s">
        <v>87</v>
      </c>
      <c r="N20" s="8"/>
      <c r="O20" s="8"/>
      <c r="P20" s="8"/>
      <c r="Q20" s="8">
        <v>5000</v>
      </c>
      <c r="R20" s="8">
        <v>5000</v>
      </c>
      <c r="S20" s="21">
        <v>45323</v>
      </c>
    </row>
    <row r="21" spans="1:19" ht="30" x14ac:dyDescent="0.25">
      <c r="A21" s="9" t="s">
        <v>88</v>
      </c>
      <c r="B21" s="9" t="s">
        <v>89</v>
      </c>
      <c r="C21" s="7" t="s">
        <v>2</v>
      </c>
      <c r="D21" s="9"/>
      <c r="E21" s="13">
        <v>45014</v>
      </c>
      <c r="F21" s="6" t="s">
        <v>92</v>
      </c>
      <c r="G21" s="6"/>
      <c r="H21" s="9" t="s">
        <v>42</v>
      </c>
      <c r="I21" s="10" t="s">
        <v>90</v>
      </c>
      <c r="J21" s="9"/>
      <c r="K21" s="6"/>
      <c r="L21" s="9"/>
      <c r="M21" s="6" t="s">
        <v>91</v>
      </c>
      <c r="N21" s="8">
        <v>1352.45</v>
      </c>
      <c r="O21" s="8"/>
      <c r="P21" s="8">
        <f t="shared" si="2"/>
        <v>297.53899999999999</v>
      </c>
      <c r="Q21" s="8">
        <v>1650</v>
      </c>
      <c r="R21" s="8">
        <v>1500</v>
      </c>
      <c r="S21" s="21">
        <v>45107</v>
      </c>
    </row>
    <row r="22" spans="1:19" ht="30" x14ac:dyDescent="0.25">
      <c r="A22" s="9" t="s">
        <v>94</v>
      </c>
      <c r="B22" s="9" t="s">
        <v>95</v>
      </c>
      <c r="C22" s="7" t="s">
        <v>1</v>
      </c>
      <c r="D22" s="9"/>
      <c r="E22" s="13">
        <v>45016</v>
      </c>
      <c r="F22" s="6" t="s">
        <v>96</v>
      </c>
      <c r="G22" s="6"/>
      <c r="H22" s="9" t="s">
        <v>34</v>
      </c>
      <c r="I22" s="10" t="s">
        <v>93</v>
      </c>
      <c r="J22" s="9"/>
      <c r="K22" s="6"/>
      <c r="L22" s="9"/>
      <c r="M22" s="6" t="s">
        <v>97</v>
      </c>
      <c r="N22" s="8">
        <f>17960/1.22</f>
        <v>14721.311475409837</v>
      </c>
      <c r="O22" s="8"/>
      <c r="P22" s="8">
        <f t="shared" si="2"/>
        <v>3238.688524590164</v>
      </c>
      <c r="Q22" s="8">
        <f t="shared" si="0"/>
        <v>17960</v>
      </c>
      <c r="R22" s="8">
        <f>7250+7250</f>
        <v>14500</v>
      </c>
      <c r="S22" s="21" t="s">
        <v>424</v>
      </c>
    </row>
    <row r="23" spans="1:19" x14ac:dyDescent="0.25">
      <c r="A23" s="9" t="s">
        <v>98</v>
      </c>
      <c r="B23" s="9" t="s">
        <v>99</v>
      </c>
      <c r="C23" s="7" t="s">
        <v>1</v>
      </c>
      <c r="D23" s="9"/>
      <c r="E23" s="13">
        <v>45020</v>
      </c>
      <c r="F23" s="6" t="s">
        <v>100</v>
      </c>
      <c r="G23" s="6"/>
      <c r="H23" s="9" t="s">
        <v>27</v>
      </c>
      <c r="I23" s="10" t="s">
        <v>101</v>
      </c>
      <c r="J23" s="9"/>
      <c r="K23" s="6"/>
      <c r="L23" s="9"/>
      <c r="M23" s="6" t="s">
        <v>102</v>
      </c>
      <c r="N23" s="8">
        <f>9133.16/1.22</f>
        <v>7486.1967213114758</v>
      </c>
      <c r="O23" s="8"/>
      <c r="P23" s="8">
        <f t="shared" si="2"/>
        <v>1646.9632786885247</v>
      </c>
      <c r="Q23" s="8">
        <f t="shared" si="0"/>
        <v>9133.16</v>
      </c>
      <c r="R23" s="8">
        <v>4681.2</v>
      </c>
      <c r="S23" s="21">
        <v>45323</v>
      </c>
    </row>
    <row r="24" spans="1:19" x14ac:dyDescent="0.25">
      <c r="A24" s="9"/>
      <c r="B24" s="9" t="s">
        <v>104</v>
      </c>
      <c r="C24" s="7" t="s">
        <v>1</v>
      </c>
      <c r="D24" s="9"/>
      <c r="E24" s="13">
        <v>45022</v>
      </c>
      <c r="F24" s="6" t="s">
        <v>105</v>
      </c>
      <c r="G24" s="6"/>
      <c r="H24" s="9" t="s">
        <v>106</v>
      </c>
      <c r="I24" s="10" t="s">
        <v>103</v>
      </c>
      <c r="J24" s="9"/>
      <c r="K24" s="6"/>
      <c r="L24" s="9"/>
      <c r="M24" s="6" t="s">
        <v>107</v>
      </c>
      <c r="N24" s="8">
        <f>1038.23/1.22</f>
        <v>851.00819672131149</v>
      </c>
      <c r="O24" s="8"/>
      <c r="P24" s="8">
        <f t="shared" si="2"/>
        <v>187.22180327868853</v>
      </c>
      <c r="Q24" s="8">
        <f t="shared" si="0"/>
        <v>1038.23</v>
      </c>
      <c r="R24" s="8">
        <v>851.01</v>
      </c>
      <c r="S24" s="21">
        <v>45029</v>
      </c>
    </row>
    <row r="25" spans="1:19" x14ac:dyDescent="0.25">
      <c r="A25" s="9" t="s">
        <v>108</v>
      </c>
      <c r="B25" s="9" t="s">
        <v>109</v>
      </c>
      <c r="C25" s="7" t="s">
        <v>1</v>
      </c>
      <c r="D25" s="9"/>
      <c r="E25" s="13">
        <v>45027</v>
      </c>
      <c r="F25" s="6" t="s">
        <v>112</v>
      </c>
      <c r="G25" s="6"/>
      <c r="H25" s="9" t="s">
        <v>34</v>
      </c>
      <c r="I25" s="10" t="s">
        <v>110</v>
      </c>
      <c r="J25" s="9"/>
      <c r="K25" s="6"/>
      <c r="L25" s="9"/>
      <c r="M25" s="6" t="s">
        <v>111</v>
      </c>
      <c r="N25" s="8"/>
      <c r="O25" s="8"/>
      <c r="P25" s="8">
        <f t="shared" si="2"/>
        <v>0</v>
      </c>
      <c r="Q25" s="8">
        <v>3040</v>
      </c>
      <c r="R25" s="8">
        <v>3040</v>
      </c>
      <c r="S25" s="21">
        <v>45107</v>
      </c>
    </row>
    <row r="26" spans="1:19" x14ac:dyDescent="0.25">
      <c r="A26" s="9" t="s">
        <v>116</v>
      </c>
      <c r="B26" s="9" t="s">
        <v>117</v>
      </c>
      <c r="C26" s="7" t="s">
        <v>1</v>
      </c>
      <c r="D26" s="9"/>
      <c r="E26" s="13">
        <v>45042</v>
      </c>
      <c r="F26" s="6" t="s">
        <v>114</v>
      </c>
      <c r="G26" s="6"/>
      <c r="H26" s="9" t="s">
        <v>34</v>
      </c>
      <c r="I26" s="10" t="s">
        <v>113</v>
      </c>
      <c r="J26" s="9"/>
      <c r="K26" s="6"/>
      <c r="L26" s="9"/>
      <c r="M26" s="6" t="s">
        <v>115</v>
      </c>
      <c r="N26" s="8">
        <v>1639.3</v>
      </c>
      <c r="O26" s="8"/>
      <c r="P26" s="8">
        <f t="shared" si="2"/>
        <v>360.64600000000002</v>
      </c>
      <c r="Q26" s="8">
        <f t="shared" si="0"/>
        <v>1999.9459999999999</v>
      </c>
      <c r="R26" s="8">
        <v>1639.3</v>
      </c>
      <c r="S26" s="21">
        <v>45121</v>
      </c>
    </row>
    <row r="27" spans="1:19" ht="30" x14ac:dyDescent="0.25">
      <c r="A27" s="9"/>
      <c r="B27" s="9"/>
      <c r="C27" s="7" t="s">
        <v>1</v>
      </c>
      <c r="D27" s="9" t="s">
        <v>119</v>
      </c>
      <c r="E27" s="13">
        <v>45044</v>
      </c>
      <c r="F27" s="6"/>
      <c r="G27" s="6"/>
      <c r="H27" s="9" t="s">
        <v>275</v>
      </c>
      <c r="I27" s="10" t="s">
        <v>120</v>
      </c>
      <c r="J27" s="9"/>
      <c r="K27" s="6"/>
      <c r="L27" s="9"/>
      <c r="M27" s="6" t="s">
        <v>118</v>
      </c>
      <c r="N27" s="8"/>
      <c r="O27" s="8"/>
      <c r="P27" s="8">
        <f t="shared" si="2"/>
        <v>0</v>
      </c>
      <c r="Q27" s="8">
        <f t="shared" si="0"/>
        <v>0</v>
      </c>
      <c r="R27" s="8"/>
      <c r="S27" s="21"/>
    </row>
    <row r="28" spans="1:19" x14ac:dyDescent="0.25">
      <c r="A28" s="9" t="s">
        <v>121</v>
      </c>
      <c r="B28" s="9" t="s">
        <v>122</v>
      </c>
      <c r="C28" s="7" t="s">
        <v>1</v>
      </c>
      <c r="D28" s="9"/>
      <c r="E28" s="13">
        <v>45044</v>
      </c>
      <c r="F28" s="6" t="s">
        <v>123</v>
      </c>
      <c r="G28" s="6"/>
      <c r="H28" s="9" t="s">
        <v>22</v>
      </c>
      <c r="I28" s="10" t="s">
        <v>124</v>
      </c>
      <c r="J28" s="9">
        <v>2</v>
      </c>
      <c r="K28" s="6" t="s">
        <v>125</v>
      </c>
      <c r="L28" s="9">
        <v>2</v>
      </c>
      <c r="M28" s="6" t="s">
        <v>270</v>
      </c>
      <c r="N28" s="8">
        <f>12356.16/1.22</f>
        <v>10128</v>
      </c>
      <c r="O28" s="8"/>
      <c r="P28" s="8">
        <f t="shared" si="2"/>
        <v>2228.16</v>
      </c>
      <c r="Q28" s="8">
        <f t="shared" si="0"/>
        <v>12356.16</v>
      </c>
      <c r="R28" s="8">
        <v>10128</v>
      </c>
      <c r="S28" s="21">
        <v>45188</v>
      </c>
    </row>
    <row r="29" spans="1:19" ht="45" x14ac:dyDescent="0.25">
      <c r="A29" s="9" t="s">
        <v>126</v>
      </c>
      <c r="B29" s="9" t="s">
        <v>127</v>
      </c>
      <c r="C29" s="7" t="s">
        <v>1</v>
      </c>
      <c r="D29" s="9"/>
      <c r="E29" s="13">
        <v>45048</v>
      </c>
      <c r="F29" s="6" t="s">
        <v>130</v>
      </c>
      <c r="G29" s="6"/>
      <c r="H29" s="9"/>
      <c r="I29" s="10" t="s">
        <v>128</v>
      </c>
      <c r="J29" s="9"/>
      <c r="K29" s="6"/>
      <c r="L29" s="9"/>
      <c r="M29" s="6" t="s">
        <v>129</v>
      </c>
      <c r="N29" s="8">
        <f>829.6/1.22</f>
        <v>680</v>
      </c>
      <c r="O29" s="8"/>
      <c r="P29" s="8">
        <f t="shared" si="2"/>
        <v>149.6</v>
      </c>
      <c r="Q29" s="8">
        <f t="shared" si="0"/>
        <v>829.6</v>
      </c>
      <c r="R29" s="8">
        <f>240+200+240</f>
        <v>680</v>
      </c>
      <c r="S29" s="21" t="s">
        <v>441</v>
      </c>
    </row>
    <row r="30" spans="1:19" s="32" customFormat="1" ht="120" x14ac:dyDescent="0.25">
      <c r="A30" s="25"/>
      <c r="B30" s="26"/>
      <c r="C30" s="27" t="s">
        <v>1</v>
      </c>
      <c r="D30" s="25" t="s">
        <v>131</v>
      </c>
      <c r="E30" s="28">
        <v>45050</v>
      </c>
      <c r="F30" s="29"/>
      <c r="G30" s="29"/>
      <c r="H30" s="25" t="s">
        <v>275</v>
      </c>
      <c r="I30" s="18" t="s">
        <v>132</v>
      </c>
      <c r="J30" s="25"/>
      <c r="K30" s="29"/>
      <c r="L30" s="25"/>
      <c r="M30" s="29" t="s">
        <v>133</v>
      </c>
      <c r="N30" s="30">
        <f>24400/1.22</f>
        <v>20000</v>
      </c>
      <c r="O30" s="30"/>
      <c r="P30" s="30">
        <f t="shared" si="2"/>
        <v>4400</v>
      </c>
      <c r="Q30" s="30">
        <f t="shared" si="0"/>
        <v>24400</v>
      </c>
      <c r="R30" s="30">
        <f>2500+2500+2500+2500+2500+2500+2500+2500</f>
        <v>20000</v>
      </c>
      <c r="S30" s="31" t="s">
        <v>423</v>
      </c>
    </row>
    <row r="31" spans="1:19" x14ac:dyDescent="0.25">
      <c r="A31" s="9" t="s">
        <v>134</v>
      </c>
      <c r="B31" s="9" t="s">
        <v>135</v>
      </c>
      <c r="C31" s="7" t="s">
        <v>1</v>
      </c>
      <c r="D31" s="9"/>
      <c r="E31" s="13">
        <v>45055</v>
      </c>
      <c r="F31" s="6" t="s">
        <v>137</v>
      </c>
      <c r="G31" s="6"/>
      <c r="H31" s="9" t="s">
        <v>27</v>
      </c>
      <c r="I31" s="10" t="s">
        <v>136</v>
      </c>
      <c r="J31" s="9">
        <v>0</v>
      </c>
      <c r="K31" s="6">
        <v>0</v>
      </c>
      <c r="L31" s="9">
        <v>1</v>
      </c>
      <c r="M31" s="6" t="s">
        <v>429</v>
      </c>
      <c r="N31" s="20">
        <f>1700.68/1.22</f>
        <v>1394</v>
      </c>
      <c r="O31" s="20"/>
      <c r="P31" s="20">
        <f t="shared" si="2"/>
        <v>306.68</v>
      </c>
      <c r="Q31" s="20">
        <f t="shared" si="0"/>
        <v>1700.68</v>
      </c>
      <c r="R31" s="20">
        <v>1394</v>
      </c>
      <c r="S31" s="21">
        <v>45473</v>
      </c>
    </row>
    <row r="32" spans="1:19" ht="45" x14ac:dyDescent="0.25">
      <c r="A32" s="9" t="s">
        <v>138</v>
      </c>
      <c r="B32" s="9" t="s">
        <v>139</v>
      </c>
      <c r="C32" s="7" t="s">
        <v>1</v>
      </c>
      <c r="D32" s="9"/>
      <c r="E32" s="13">
        <v>45058</v>
      </c>
      <c r="F32" s="6" t="s">
        <v>149</v>
      </c>
      <c r="G32" s="6"/>
      <c r="H32" s="9" t="s">
        <v>34</v>
      </c>
      <c r="I32" s="10" t="s">
        <v>140</v>
      </c>
      <c r="J32" s="9">
        <v>2</v>
      </c>
      <c r="K32" s="6" t="s">
        <v>142</v>
      </c>
      <c r="L32" s="9">
        <v>2</v>
      </c>
      <c r="M32" s="6" t="s">
        <v>141</v>
      </c>
      <c r="N32" s="8">
        <f>2030.8/1.22</f>
        <v>1664.5901639344263</v>
      </c>
      <c r="O32" s="8"/>
      <c r="P32" s="8">
        <f t="shared" si="2"/>
        <v>366.20983606557377</v>
      </c>
      <c r="Q32" s="8">
        <f t="shared" si="0"/>
        <v>2030.8000000000002</v>
      </c>
      <c r="R32" s="8">
        <v>1664.59</v>
      </c>
      <c r="S32" s="21">
        <v>45107</v>
      </c>
    </row>
    <row r="33" spans="1:19" x14ac:dyDescent="0.25">
      <c r="A33" s="9" t="s">
        <v>143</v>
      </c>
      <c r="B33" s="9" t="s">
        <v>144</v>
      </c>
      <c r="C33" s="7" t="s">
        <v>1</v>
      </c>
      <c r="D33" s="9"/>
      <c r="E33" s="13">
        <v>45065</v>
      </c>
      <c r="F33" s="6" t="s">
        <v>148</v>
      </c>
      <c r="G33" s="6"/>
      <c r="H33" s="9" t="s">
        <v>34</v>
      </c>
      <c r="I33" s="10" t="s">
        <v>147</v>
      </c>
      <c r="J33" s="9"/>
      <c r="K33" s="6"/>
      <c r="L33" s="9"/>
      <c r="M33" s="6" t="s">
        <v>150</v>
      </c>
      <c r="N33" s="8">
        <v>2100</v>
      </c>
      <c r="O33" s="8"/>
      <c r="P33" s="8">
        <v>210</v>
      </c>
      <c r="Q33" s="8">
        <f t="shared" si="0"/>
        <v>2310</v>
      </c>
      <c r="R33" s="8">
        <v>2100</v>
      </c>
      <c r="S33" s="21">
        <v>45138</v>
      </c>
    </row>
    <row r="34" spans="1:19" ht="30" x14ac:dyDescent="0.25">
      <c r="A34" s="9" t="s">
        <v>145</v>
      </c>
      <c r="B34" s="9" t="s">
        <v>146</v>
      </c>
      <c r="C34" s="7" t="s">
        <v>1</v>
      </c>
      <c r="D34" s="9"/>
      <c r="E34" s="13">
        <v>45065</v>
      </c>
      <c r="F34" s="6" t="s">
        <v>152</v>
      </c>
      <c r="G34" s="6"/>
      <c r="H34" s="9" t="s">
        <v>34</v>
      </c>
      <c r="I34" s="10" t="s">
        <v>151</v>
      </c>
      <c r="J34" s="9"/>
      <c r="K34" s="6"/>
      <c r="L34" s="9"/>
      <c r="M34" s="6" t="s">
        <v>153</v>
      </c>
      <c r="N34" s="8">
        <v>464.75</v>
      </c>
      <c r="O34" s="8"/>
      <c r="P34" s="8">
        <f t="shared" si="2"/>
        <v>102.245</v>
      </c>
      <c r="Q34" s="8">
        <f t="shared" si="0"/>
        <v>566.995</v>
      </c>
      <c r="R34" s="8">
        <v>464.75</v>
      </c>
      <c r="S34" s="21">
        <v>45138</v>
      </c>
    </row>
    <row r="35" spans="1:19" ht="30" x14ac:dyDescent="0.25">
      <c r="A35" s="9" t="s">
        <v>154</v>
      </c>
      <c r="B35" s="9" t="s">
        <v>155</v>
      </c>
      <c r="C35" s="7" t="s">
        <v>1</v>
      </c>
      <c r="D35" s="9"/>
      <c r="E35" s="13">
        <v>45065</v>
      </c>
      <c r="F35" s="6" t="s">
        <v>156</v>
      </c>
      <c r="G35" s="6"/>
      <c r="H35" s="9" t="s">
        <v>34</v>
      </c>
      <c r="I35" s="10" t="s">
        <v>157</v>
      </c>
      <c r="J35" s="9"/>
      <c r="K35" s="6"/>
      <c r="L35" s="9"/>
      <c r="M35" s="6" t="s">
        <v>158</v>
      </c>
      <c r="N35" s="8">
        <v>430.33</v>
      </c>
      <c r="O35" s="8"/>
      <c r="P35" s="8">
        <f t="shared" si="2"/>
        <v>94.672600000000003</v>
      </c>
      <c r="Q35" s="8">
        <f t="shared" si="0"/>
        <v>525.00260000000003</v>
      </c>
      <c r="R35" s="8">
        <v>500</v>
      </c>
      <c r="S35" s="21">
        <v>45198</v>
      </c>
    </row>
    <row r="36" spans="1:19" ht="30" x14ac:dyDescent="0.25">
      <c r="A36" s="9"/>
      <c r="B36" s="9"/>
      <c r="C36" s="7" t="s">
        <v>271</v>
      </c>
      <c r="D36" s="9" t="s">
        <v>159</v>
      </c>
      <c r="E36" s="13">
        <v>45065</v>
      </c>
      <c r="F36" s="6"/>
      <c r="G36" s="6"/>
      <c r="H36" s="9" t="s">
        <v>160</v>
      </c>
      <c r="I36" s="10" t="s">
        <v>161</v>
      </c>
      <c r="J36" s="9"/>
      <c r="L36" s="9"/>
      <c r="M36" s="6" t="s">
        <v>162</v>
      </c>
      <c r="N36" s="8">
        <v>866.96</v>
      </c>
      <c r="O36" s="8">
        <f>(N36*4)/100</f>
        <v>34.678400000000003</v>
      </c>
      <c r="P36" s="8">
        <f>(N36+O36)*0.22</f>
        <v>198.36044800000002</v>
      </c>
      <c r="Q36" s="8">
        <f t="shared" si="0"/>
        <v>1099.9988480000002</v>
      </c>
      <c r="R36" s="8">
        <f>366+366</f>
        <v>732</v>
      </c>
      <c r="S36" s="21" t="s">
        <v>273</v>
      </c>
    </row>
    <row r="37" spans="1:19" x14ac:dyDescent="0.25">
      <c r="A37" s="9" t="s">
        <v>163</v>
      </c>
      <c r="B37" s="9" t="s">
        <v>164</v>
      </c>
      <c r="C37" s="7" t="s">
        <v>1</v>
      </c>
      <c r="D37" s="9"/>
      <c r="H37" s="9" t="s">
        <v>34</v>
      </c>
      <c r="I37" s="10" t="s">
        <v>268</v>
      </c>
      <c r="J37" s="9">
        <v>2</v>
      </c>
      <c r="K37" s="6" t="s">
        <v>171</v>
      </c>
      <c r="L37" s="9">
        <v>2</v>
      </c>
      <c r="M37" s="6" t="s">
        <v>172</v>
      </c>
      <c r="N37" s="8">
        <v>1204.92</v>
      </c>
      <c r="O37" s="8"/>
      <c r="P37" s="8">
        <f>(N37+O37)*0.22</f>
        <v>265.08240000000001</v>
      </c>
      <c r="Q37" s="8">
        <f>N37+O37+P37</f>
        <v>1470.0024000000001</v>
      </c>
      <c r="R37" s="8">
        <v>1210</v>
      </c>
      <c r="S37" s="21">
        <v>45121</v>
      </c>
    </row>
    <row r="38" spans="1:19" ht="45" x14ac:dyDescent="0.25">
      <c r="A38" s="9" t="s">
        <v>165</v>
      </c>
      <c r="B38" s="9" t="s">
        <v>166</v>
      </c>
      <c r="C38" s="7" t="s">
        <v>1</v>
      </c>
      <c r="D38" s="9"/>
      <c r="E38" s="13">
        <v>45072</v>
      </c>
      <c r="F38" s="6" t="s">
        <v>168</v>
      </c>
      <c r="G38" s="6"/>
      <c r="H38" s="9" t="s">
        <v>22</v>
      </c>
      <c r="I38" s="10" t="s">
        <v>167</v>
      </c>
      <c r="J38" s="9"/>
      <c r="L38" s="9"/>
      <c r="M38" s="6" t="s">
        <v>169</v>
      </c>
      <c r="N38" s="8">
        <f>8486.44/1.22</f>
        <v>6956.0983606557384</v>
      </c>
      <c r="O38" s="8"/>
      <c r="P38" s="8">
        <f>(N38+O38)*0.22</f>
        <v>1530.3416393442624</v>
      </c>
      <c r="Q38" s="8">
        <f>N38+O38+P38+3343.05</f>
        <v>11829.490000000002</v>
      </c>
      <c r="R38" s="8">
        <v>6956.1</v>
      </c>
      <c r="S38" s="21" t="s">
        <v>272</v>
      </c>
    </row>
    <row r="39" spans="1:19" ht="45" x14ac:dyDescent="0.25">
      <c r="A39" s="9"/>
      <c r="B39" s="11"/>
      <c r="C39" s="7" t="s">
        <v>1</v>
      </c>
      <c r="D39" s="9" t="s">
        <v>170</v>
      </c>
      <c r="E39" s="13">
        <v>45085</v>
      </c>
      <c r="F39" s="6"/>
      <c r="G39" s="6"/>
      <c r="H39" s="9" t="s">
        <v>34</v>
      </c>
      <c r="I39" s="15" t="s">
        <v>173</v>
      </c>
      <c r="J39" s="9"/>
      <c r="K39" s="6"/>
      <c r="L39" s="9"/>
      <c r="M39" s="10" t="s">
        <v>174</v>
      </c>
      <c r="N39" s="8"/>
      <c r="O39" s="8"/>
      <c r="P39" s="8">
        <f t="shared" si="2"/>
        <v>0</v>
      </c>
      <c r="Q39" s="8">
        <v>1456</v>
      </c>
      <c r="R39" s="8">
        <v>1456</v>
      </c>
      <c r="S39" s="21">
        <v>45126</v>
      </c>
    </row>
    <row r="40" spans="1:19" x14ac:dyDescent="0.25">
      <c r="A40" s="9" t="s">
        <v>175</v>
      </c>
      <c r="B40" s="9" t="s">
        <v>176</v>
      </c>
      <c r="C40" s="7" t="s">
        <v>1</v>
      </c>
      <c r="D40" s="9"/>
      <c r="E40" s="13">
        <v>45085</v>
      </c>
      <c r="F40" s="6"/>
      <c r="G40" s="6"/>
      <c r="H40" s="9" t="s">
        <v>275</v>
      </c>
      <c r="I40" s="10" t="s">
        <v>177</v>
      </c>
      <c r="J40" s="9">
        <v>4</v>
      </c>
      <c r="K40" s="6" t="s">
        <v>178</v>
      </c>
      <c r="L40" s="9">
        <v>3</v>
      </c>
      <c r="M40" s="6" t="s">
        <v>179</v>
      </c>
      <c r="N40" s="8">
        <f>4502.8/1.22</f>
        <v>3690.8196721311479</v>
      </c>
      <c r="O40" s="8"/>
      <c r="P40" s="8">
        <f t="shared" si="2"/>
        <v>811.98032786885256</v>
      </c>
      <c r="Q40" s="8">
        <f t="shared" si="0"/>
        <v>4502.8</v>
      </c>
      <c r="R40" s="8">
        <f>3350+340</f>
        <v>3690</v>
      </c>
      <c r="S40" s="21">
        <v>45138</v>
      </c>
    </row>
    <row r="41" spans="1:19" s="32" customFormat="1" ht="60" x14ac:dyDescent="0.25">
      <c r="A41" s="25"/>
      <c r="B41" s="25"/>
      <c r="C41" s="27" t="s">
        <v>271</v>
      </c>
      <c r="D41" s="25" t="s">
        <v>180</v>
      </c>
      <c r="E41" s="28">
        <v>45089</v>
      </c>
      <c r="F41" s="29"/>
      <c r="G41" s="29"/>
      <c r="H41" s="25" t="s">
        <v>276</v>
      </c>
      <c r="I41" s="18" t="s">
        <v>181</v>
      </c>
      <c r="J41" s="25"/>
      <c r="L41" s="25"/>
      <c r="M41" s="29" t="s">
        <v>182</v>
      </c>
      <c r="N41" s="30">
        <v>14600</v>
      </c>
      <c r="O41" s="30">
        <f>N41*4/100</f>
        <v>584</v>
      </c>
      <c r="P41" s="30">
        <f t="shared" si="2"/>
        <v>3340.48</v>
      </c>
      <c r="Q41" s="30">
        <f t="shared" si="0"/>
        <v>18524.48</v>
      </c>
      <c r="R41" s="30">
        <v>11267.5</v>
      </c>
      <c r="S41" s="31" t="s">
        <v>433</v>
      </c>
    </row>
    <row r="42" spans="1:19" x14ac:dyDescent="0.25">
      <c r="A42" s="9" t="s">
        <v>183</v>
      </c>
      <c r="B42" s="9" t="s">
        <v>184</v>
      </c>
      <c r="C42" s="7" t="s">
        <v>1</v>
      </c>
      <c r="D42" s="9"/>
      <c r="E42" s="13">
        <v>45090</v>
      </c>
      <c r="F42" s="6" t="s">
        <v>187</v>
      </c>
      <c r="G42" s="6"/>
      <c r="H42" s="9" t="s">
        <v>34</v>
      </c>
      <c r="I42" s="10" t="s">
        <v>185</v>
      </c>
      <c r="J42" s="9">
        <v>3</v>
      </c>
      <c r="K42" s="6" t="s">
        <v>188</v>
      </c>
      <c r="L42" s="9">
        <v>3</v>
      </c>
      <c r="M42" s="6" t="s">
        <v>186</v>
      </c>
      <c r="N42" s="8">
        <v>1000</v>
      </c>
      <c r="O42" s="8"/>
      <c r="P42" s="8">
        <f t="shared" si="2"/>
        <v>220</v>
      </c>
      <c r="Q42" s="8">
        <f t="shared" si="0"/>
        <v>1220</v>
      </c>
      <c r="R42" s="8">
        <v>1000</v>
      </c>
      <c r="S42" s="21">
        <v>45133</v>
      </c>
    </row>
    <row r="43" spans="1:19" ht="30" x14ac:dyDescent="0.25">
      <c r="A43" s="9"/>
      <c r="B43" s="9"/>
      <c r="C43" s="7" t="s">
        <v>1</v>
      </c>
      <c r="D43" s="9" t="s">
        <v>189</v>
      </c>
      <c r="E43" s="13">
        <v>45091</v>
      </c>
      <c r="F43" s="6"/>
      <c r="G43" s="6"/>
      <c r="H43" s="9" t="s">
        <v>27</v>
      </c>
      <c r="I43" s="10" t="s">
        <v>190</v>
      </c>
      <c r="J43" s="9"/>
      <c r="L43" s="9"/>
      <c r="M43" s="6" t="s">
        <v>191</v>
      </c>
      <c r="N43" s="8">
        <v>200</v>
      </c>
      <c r="O43" s="8">
        <v>8</v>
      </c>
      <c r="P43" s="8">
        <f t="shared" si="2"/>
        <v>45.76</v>
      </c>
      <c r="Q43" s="8">
        <f t="shared" si="0"/>
        <v>253.76</v>
      </c>
      <c r="R43" s="8">
        <v>208</v>
      </c>
      <c r="S43" s="21">
        <v>45138</v>
      </c>
    </row>
    <row r="44" spans="1:19" x14ac:dyDescent="0.25">
      <c r="A44" s="9" t="s">
        <v>192</v>
      </c>
      <c r="B44" s="9" t="s">
        <v>193</v>
      </c>
      <c r="C44" s="7" t="s">
        <v>1</v>
      </c>
      <c r="D44" s="9"/>
      <c r="E44" s="13">
        <v>45091</v>
      </c>
      <c r="F44" s="6" t="s">
        <v>195</v>
      </c>
      <c r="G44" s="6"/>
      <c r="H44" s="9" t="s">
        <v>42</v>
      </c>
      <c r="I44" s="10" t="s">
        <v>194</v>
      </c>
      <c r="J44" s="9"/>
      <c r="K44" s="6"/>
      <c r="L44" s="9"/>
      <c r="M44" s="6" t="s">
        <v>196</v>
      </c>
      <c r="N44" s="8">
        <v>16000</v>
      </c>
      <c r="O44" s="8"/>
      <c r="P44" s="8">
        <f t="shared" si="2"/>
        <v>3520</v>
      </c>
      <c r="Q44" s="8">
        <f t="shared" si="0"/>
        <v>19520</v>
      </c>
      <c r="R44" s="8">
        <v>16000</v>
      </c>
      <c r="S44" s="21">
        <v>45133</v>
      </c>
    </row>
    <row r="45" spans="1:19" ht="30" x14ac:dyDescent="0.25">
      <c r="A45" s="9" t="s">
        <v>197</v>
      </c>
      <c r="B45" s="9" t="s">
        <v>198</v>
      </c>
      <c r="C45" s="7" t="s">
        <v>1</v>
      </c>
      <c r="D45" s="9"/>
      <c r="E45" s="13">
        <v>45096</v>
      </c>
      <c r="F45" s="6" t="s">
        <v>199</v>
      </c>
      <c r="G45" s="6"/>
      <c r="H45" s="9" t="s">
        <v>34</v>
      </c>
      <c r="I45" s="16" t="s">
        <v>200</v>
      </c>
      <c r="J45" s="9"/>
      <c r="K45" s="6"/>
      <c r="L45" s="9"/>
      <c r="M45" s="6" t="s">
        <v>201</v>
      </c>
      <c r="N45" s="8">
        <v>2962.3</v>
      </c>
      <c r="O45" s="8"/>
      <c r="P45" s="8">
        <f t="shared" si="2"/>
        <v>651.70600000000002</v>
      </c>
      <c r="Q45" s="8">
        <f t="shared" si="0"/>
        <v>3614.0060000000003</v>
      </c>
      <c r="R45" s="8">
        <v>2962.3</v>
      </c>
      <c r="S45" s="21">
        <v>45260</v>
      </c>
    </row>
    <row r="46" spans="1:19" ht="30" x14ac:dyDescent="0.25">
      <c r="A46" s="9" t="s">
        <v>202</v>
      </c>
      <c r="B46" s="9" t="s">
        <v>203</v>
      </c>
      <c r="C46" s="7" t="s">
        <v>1</v>
      </c>
      <c r="D46" s="9"/>
      <c r="E46" s="13">
        <v>45098</v>
      </c>
      <c r="F46" s="6" t="s">
        <v>204</v>
      </c>
      <c r="G46" s="6"/>
      <c r="H46" s="9" t="s">
        <v>34</v>
      </c>
      <c r="I46" s="10" t="s">
        <v>207</v>
      </c>
      <c r="J46" s="9">
        <v>2</v>
      </c>
      <c r="K46" s="6" t="s">
        <v>206</v>
      </c>
      <c r="L46" s="9">
        <v>2</v>
      </c>
      <c r="M46" s="6" t="s">
        <v>205</v>
      </c>
      <c r="N46" s="8">
        <v>3950</v>
      </c>
      <c r="O46" s="8"/>
      <c r="P46" s="8">
        <f>(N46+O46)*0.22</f>
        <v>869</v>
      </c>
      <c r="Q46" s="8">
        <f t="shared" si="0"/>
        <v>4819</v>
      </c>
      <c r="R46" s="8">
        <v>3950</v>
      </c>
      <c r="S46" s="21">
        <v>45181</v>
      </c>
    </row>
    <row r="47" spans="1:19" s="12" customFormat="1" ht="30" x14ac:dyDescent="0.25">
      <c r="A47" s="9" t="s">
        <v>208</v>
      </c>
      <c r="B47" s="9" t="s">
        <v>209</v>
      </c>
      <c r="C47" s="7" t="s">
        <v>1</v>
      </c>
      <c r="D47" s="9"/>
      <c r="E47" s="13">
        <v>45104</v>
      </c>
      <c r="F47" s="9" t="s">
        <v>210</v>
      </c>
      <c r="G47" s="9"/>
      <c r="H47" s="9"/>
      <c r="I47" s="35" t="s">
        <v>211</v>
      </c>
      <c r="J47" s="9"/>
      <c r="K47" s="9"/>
      <c r="L47" s="9"/>
      <c r="M47" s="9" t="s">
        <v>212</v>
      </c>
      <c r="N47" s="34">
        <v>12059</v>
      </c>
      <c r="O47" s="34"/>
      <c r="P47" s="34">
        <f>(N47+O47)*0.22</f>
        <v>2652.98</v>
      </c>
      <c r="Q47" s="34">
        <v>14712</v>
      </c>
      <c r="R47" s="34">
        <f>1782+1809</f>
        <v>3591</v>
      </c>
      <c r="S47" s="21" t="s">
        <v>430</v>
      </c>
    </row>
    <row r="48" spans="1:19" ht="30" x14ac:dyDescent="0.25">
      <c r="A48" s="9" t="s">
        <v>213</v>
      </c>
      <c r="B48" s="9" t="s">
        <v>214</v>
      </c>
      <c r="C48" s="7" t="s">
        <v>1</v>
      </c>
      <c r="D48" s="9"/>
      <c r="E48" s="13">
        <v>45105</v>
      </c>
      <c r="F48" s="6" t="s">
        <v>218</v>
      </c>
      <c r="G48" s="6"/>
      <c r="H48" s="9" t="s">
        <v>22</v>
      </c>
      <c r="I48" s="17" t="s">
        <v>219</v>
      </c>
      <c r="J48" s="9"/>
      <c r="K48" s="6"/>
      <c r="L48" s="9"/>
      <c r="M48" s="6" t="s">
        <v>217</v>
      </c>
      <c r="N48" s="8">
        <v>1860</v>
      </c>
      <c r="O48" s="8"/>
      <c r="P48" s="8">
        <f t="shared" si="2"/>
        <v>409.2</v>
      </c>
      <c r="Q48" s="8">
        <f t="shared" si="0"/>
        <v>2269.1999999999998</v>
      </c>
      <c r="R48" s="8">
        <v>1860</v>
      </c>
      <c r="S48" s="21"/>
    </row>
    <row r="49" spans="1:19" x14ac:dyDescent="0.25">
      <c r="A49" s="9" t="s">
        <v>215</v>
      </c>
      <c r="B49" s="9" t="s">
        <v>216</v>
      </c>
      <c r="C49" s="7" t="s">
        <v>1</v>
      </c>
      <c r="D49" s="9"/>
      <c r="E49" s="13">
        <v>45105</v>
      </c>
      <c r="F49" s="6" t="s">
        <v>220</v>
      </c>
      <c r="G49" s="6"/>
      <c r="H49" s="9" t="s">
        <v>22</v>
      </c>
      <c r="I49" s="10" t="s">
        <v>221</v>
      </c>
      <c r="J49" s="9"/>
      <c r="K49" s="6"/>
      <c r="L49" s="9"/>
      <c r="M49" s="6" t="s">
        <v>270</v>
      </c>
      <c r="N49" s="8">
        <v>2934</v>
      </c>
      <c r="O49" s="8"/>
      <c r="P49" s="8">
        <f t="shared" si="2"/>
        <v>645.48</v>
      </c>
      <c r="Q49" s="8">
        <f t="shared" si="0"/>
        <v>3579.48</v>
      </c>
      <c r="R49" s="8">
        <v>2934</v>
      </c>
      <c r="S49" s="21">
        <v>45181</v>
      </c>
    </row>
    <row r="50" spans="1:19" s="42" customFormat="1" ht="45" x14ac:dyDescent="0.25">
      <c r="A50" s="36"/>
      <c r="B50" s="37"/>
      <c r="C50" s="38" t="s">
        <v>1</v>
      </c>
      <c r="D50" s="36" t="s">
        <v>222</v>
      </c>
      <c r="E50" s="39">
        <v>45107</v>
      </c>
      <c r="F50" s="36"/>
      <c r="G50" s="36"/>
      <c r="H50" s="25" t="s">
        <v>275</v>
      </c>
      <c r="I50" s="40" t="s">
        <v>224</v>
      </c>
      <c r="J50" s="36"/>
      <c r="K50" s="36"/>
      <c r="L50" s="36"/>
      <c r="M50" s="36" t="s">
        <v>223</v>
      </c>
      <c r="N50" s="41">
        <v>23400</v>
      </c>
      <c r="O50" s="41"/>
      <c r="P50" s="41">
        <f t="shared" si="2"/>
        <v>5148</v>
      </c>
      <c r="Q50" s="41">
        <f t="shared" si="0"/>
        <v>28548</v>
      </c>
      <c r="R50" s="41">
        <f>3900*4</f>
        <v>15600</v>
      </c>
      <c r="S50" s="31" t="s">
        <v>432</v>
      </c>
    </row>
    <row r="51" spans="1:19" x14ac:dyDescent="0.25">
      <c r="A51" s="9" t="s">
        <v>225</v>
      </c>
      <c r="B51" s="9" t="s">
        <v>226</v>
      </c>
      <c r="C51" s="7" t="s">
        <v>1</v>
      </c>
      <c r="D51" s="9"/>
      <c r="E51" s="13">
        <v>45107</v>
      </c>
      <c r="F51" s="6" t="s">
        <v>228</v>
      </c>
      <c r="G51" s="6"/>
      <c r="H51" s="9" t="s">
        <v>106</v>
      </c>
      <c r="I51" s="10" t="s">
        <v>230</v>
      </c>
      <c r="J51" s="9"/>
      <c r="K51" s="6"/>
      <c r="L51" s="9"/>
      <c r="M51" s="6" t="s">
        <v>229</v>
      </c>
      <c r="N51" s="8">
        <v>31200</v>
      </c>
      <c r="O51" s="8"/>
      <c r="P51" s="8">
        <f t="shared" si="2"/>
        <v>6864</v>
      </c>
      <c r="Q51" s="8">
        <f t="shared" si="0"/>
        <v>38064</v>
      </c>
      <c r="R51" s="8">
        <f>3952+728</f>
        <v>4680</v>
      </c>
      <c r="S51" s="21">
        <v>45971</v>
      </c>
    </row>
    <row r="52" spans="1:19" x14ac:dyDescent="0.25">
      <c r="A52" s="9"/>
      <c r="B52" s="11"/>
      <c r="C52" s="7" t="s">
        <v>1</v>
      </c>
      <c r="D52" s="9" t="s">
        <v>227</v>
      </c>
      <c r="E52" s="13">
        <v>45107</v>
      </c>
      <c r="F52" s="6"/>
      <c r="G52" s="6"/>
      <c r="H52" s="9" t="s">
        <v>275</v>
      </c>
      <c r="I52" s="10" t="s">
        <v>231</v>
      </c>
      <c r="J52" s="9"/>
      <c r="K52" s="6"/>
      <c r="L52" s="9"/>
      <c r="M52" s="6" t="s">
        <v>232</v>
      </c>
      <c r="N52" s="8">
        <v>23400</v>
      </c>
      <c r="O52" s="8"/>
      <c r="P52" s="8">
        <f t="shared" si="2"/>
        <v>5148</v>
      </c>
      <c r="Q52" s="8">
        <f t="shared" si="0"/>
        <v>28548</v>
      </c>
      <c r="R52" s="8">
        <v>7800</v>
      </c>
      <c r="S52" s="21">
        <v>45323</v>
      </c>
    </row>
    <row r="53" spans="1:19" ht="31.5" customHeight="1" x14ac:dyDescent="0.25">
      <c r="A53" s="9" t="s">
        <v>233</v>
      </c>
      <c r="B53" s="9" t="s">
        <v>234</v>
      </c>
      <c r="C53" s="7" t="s">
        <v>1</v>
      </c>
      <c r="D53" s="9"/>
      <c r="E53" s="13">
        <v>45118</v>
      </c>
      <c r="F53" s="6" t="s">
        <v>235</v>
      </c>
      <c r="G53" s="6"/>
      <c r="H53" s="9" t="s">
        <v>42</v>
      </c>
      <c r="I53" s="18" t="s">
        <v>236</v>
      </c>
      <c r="J53" s="9">
        <v>4</v>
      </c>
      <c r="K53" s="6" t="s">
        <v>237</v>
      </c>
      <c r="L53" s="9">
        <v>2</v>
      </c>
      <c r="M53" s="6" t="s">
        <v>279</v>
      </c>
      <c r="N53" s="8">
        <v>22000</v>
      </c>
      <c r="O53" s="8"/>
      <c r="P53" s="8">
        <f t="shared" si="2"/>
        <v>4840</v>
      </c>
      <c r="Q53" s="8">
        <f t="shared" si="0"/>
        <v>26840</v>
      </c>
      <c r="R53" s="8">
        <v>22000</v>
      </c>
      <c r="S53" s="21">
        <v>45230</v>
      </c>
    </row>
    <row r="54" spans="1:19" x14ac:dyDescent="0.25">
      <c r="A54" s="9" t="s">
        <v>238</v>
      </c>
      <c r="B54" s="9" t="s">
        <v>239</v>
      </c>
      <c r="C54" s="7" t="s">
        <v>1</v>
      </c>
      <c r="D54" s="9"/>
      <c r="E54" s="13">
        <v>45119</v>
      </c>
      <c r="F54" s="6"/>
      <c r="G54" s="6"/>
      <c r="H54" s="9" t="s">
        <v>274</v>
      </c>
      <c r="I54" s="10" t="s">
        <v>240</v>
      </c>
      <c r="J54" s="9"/>
      <c r="K54" s="6"/>
      <c r="L54" s="9"/>
      <c r="M54" s="6" t="s">
        <v>241</v>
      </c>
      <c r="N54" s="8"/>
      <c r="O54" s="8"/>
      <c r="P54" s="8"/>
      <c r="Q54" s="8">
        <v>6760</v>
      </c>
      <c r="R54" s="8">
        <v>6760</v>
      </c>
      <c r="S54" s="21">
        <v>45120</v>
      </c>
    </row>
    <row r="55" spans="1:19" ht="45" x14ac:dyDescent="0.25">
      <c r="A55" s="9" t="s">
        <v>242</v>
      </c>
      <c r="B55" s="9" t="s">
        <v>243</v>
      </c>
      <c r="C55" s="7" t="s">
        <v>1</v>
      </c>
      <c r="D55" s="9"/>
      <c r="E55" s="13">
        <v>45119</v>
      </c>
      <c r="F55" s="6" t="s">
        <v>245</v>
      </c>
      <c r="G55" s="6"/>
      <c r="H55" s="9" t="s">
        <v>27</v>
      </c>
      <c r="I55" s="10" t="s">
        <v>244</v>
      </c>
      <c r="J55" s="9">
        <v>4</v>
      </c>
      <c r="K55" s="10" t="s">
        <v>247</v>
      </c>
      <c r="L55" s="9">
        <v>4</v>
      </c>
      <c r="M55" s="6" t="s">
        <v>246</v>
      </c>
      <c r="N55" s="8">
        <v>4025</v>
      </c>
      <c r="O55" s="8"/>
      <c r="P55" s="8">
        <f t="shared" si="2"/>
        <v>885.5</v>
      </c>
      <c r="Q55" s="8">
        <f t="shared" si="0"/>
        <v>4910.5</v>
      </c>
      <c r="R55" s="8">
        <v>2100</v>
      </c>
      <c r="S55" s="21">
        <v>45046</v>
      </c>
    </row>
    <row r="56" spans="1:19" ht="30" x14ac:dyDescent="0.25">
      <c r="A56" s="9" t="s">
        <v>248</v>
      </c>
      <c r="B56" s="11"/>
      <c r="C56" s="7" t="s">
        <v>1</v>
      </c>
      <c r="D56" s="9"/>
      <c r="E56" s="13">
        <v>45128</v>
      </c>
      <c r="F56" s="6"/>
      <c r="G56" s="6"/>
      <c r="H56" s="9" t="s">
        <v>42</v>
      </c>
      <c r="I56" s="10" t="s">
        <v>249</v>
      </c>
      <c r="J56" s="9"/>
      <c r="K56" s="6"/>
      <c r="L56" s="9"/>
      <c r="M56" s="6"/>
      <c r="N56" s="8"/>
      <c r="O56" s="8"/>
      <c r="P56" s="8"/>
      <c r="Q56" s="8">
        <f t="shared" si="0"/>
        <v>0</v>
      </c>
      <c r="R56" s="19"/>
      <c r="S56" s="22"/>
    </row>
    <row r="57" spans="1:19" ht="30" x14ac:dyDescent="0.25">
      <c r="A57" s="9"/>
      <c r="B57" s="9" t="s">
        <v>250</v>
      </c>
      <c r="C57" s="7" t="s">
        <v>1</v>
      </c>
      <c r="D57" s="9"/>
      <c r="E57" s="13">
        <v>45128</v>
      </c>
      <c r="F57" s="6" t="s">
        <v>254</v>
      </c>
      <c r="G57" s="6"/>
      <c r="H57" s="9" t="s">
        <v>42</v>
      </c>
      <c r="I57" s="10" t="s">
        <v>249</v>
      </c>
      <c r="J57" s="9"/>
      <c r="K57" s="6"/>
      <c r="L57" s="9"/>
      <c r="M57" s="6" t="s">
        <v>253</v>
      </c>
      <c r="N57" s="8">
        <v>3120.13</v>
      </c>
      <c r="O57" s="8"/>
      <c r="P57" s="8">
        <f t="shared" si="2"/>
        <v>686.42860000000007</v>
      </c>
      <c r="Q57" s="8">
        <f t="shared" si="0"/>
        <v>3806.5586000000003</v>
      </c>
      <c r="R57" s="8">
        <v>3120.13</v>
      </c>
      <c r="S57" s="21">
        <v>45992</v>
      </c>
    </row>
    <row r="58" spans="1:19" ht="30" x14ac:dyDescent="0.25">
      <c r="A58" s="9"/>
      <c r="B58" s="9" t="s">
        <v>251</v>
      </c>
      <c r="C58" s="7" t="s">
        <v>1</v>
      </c>
      <c r="D58" s="9"/>
      <c r="E58" s="13">
        <v>45128</v>
      </c>
      <c r="F58" s="6" t="s">
        <v>255</v>
      </c>
      <c r="G58" s="6"/>
      <c r="H58" s="9" t="s">
        <v>42</v>
      </c>
      <c r="I58" s="10" t="s">
        <v>249</v>
      </c>
      <c r="J58" s="9"/>
      <c r="K58" s="6"/>
      <c r="L58" s="9"/>
      <c r="M58" s="6" t="s">
        <v>256</v>
      </c>
      <c r="N58" s="8">
        <v>1842.44</v>
      </c>
      <c r="O58" s="8"/>
      <c r="P58" s="8">
        <f t="shared" si="2"/>
        <v>405.33680000000004</v>
      </c>
      <c r="Q58" s="8">
        <f t="shared" si="0"/>
        <v>2247.7768000000001</v>
      </c>
      <c r="R58" s="8">
        <v>1842.42</v>
      </c>
      <c r="S58" s="21">
        <v>45992</v>
      </c>
    </row>
    <row r="59" spans="1:19" ht="30" x14ac:dyDescent="0.25">
      <c r="A59" s="9"/>
      <c r="B59" s="9" t="s">
        <v>252</v>
      </c>
      <c r="C59" s="7" t="s">
        <v>1</v>
      </c>
      <c r="D59" s="9"/>
      <c r="E59" s="13">
        <v>45128</v>
      </c>
      <c r="F59" s="6" t="s">
        <v>257</v>
      </c>
      <c r="G59" s="6"/>
      <c r="H59" s="9" t="s">
        <v>42</v>
      </c>
      <c r="I59" s="10" t="s">
        <v>249</v>
      </c>
      <c r="J59" s="9"/>
      <c r="K59" s="6"/>
      <c r="L59" s="9"/>
      <c r="M59" s="6" t="s">
        <v>258</v>
      </c>
      <c r="N59" s="8">
        <v>1142.3599999999999</v>
      </c>
      <c r="O59" s="8"/>
      <c r="P59" s="8">
        <f t="shared" si="2"/>
        <v>251.31919999999997</v>
      </c>
      <c r="Q59" s="8">
        <f t="shared" si="0"/>
        <v>1393.6791999999998</v>
      </c>
      <c r="R59" s="8">
        <v>354.33</v>
      </c>
      <c r="S59" s="21">
        <v>45446</v>
      </c>
    </row>
    <row r="60" spans="1:19" ht="30" x14ac:dyDescent="0.25">
      <c r="A60" s="9"/>
      <c r="B60" s="9" t="s">
        <v>259</v>
      </c>
      <c r="C60" s="7" t="s">
        <v>1</v>
      </c>
      <c r="D60" s="9"/>
      <c r="E60" s="13">
        <v>45128</v>
      </c>
      <c r="F60" s="6" t="s">
        <v>260</v>
      </c>
      <c r="G60" s="6"/>
      <c r="H60" s="9" t="s">
        <v>42</v>
      </c>
      <c r="I60" s="10" t="s">
        <v>249</v>
      </c>
      <c r="J60" s="9"/>
      <c r="K60" s="6"/>
      <c r="L60" s="9"/>
      <c r="M60" s="6" t="s">
        <v>261</v>
      </c>
      <c r="N60" s="8">
        <v>2371.69</v>
      </c>
      <c r="O60" s="8"/>
      <c r="P60" s="8">
        <f t="shared" si="2"/>
        <v>521.77179999999998</v>
      </c>
      <c r="Q60" s="8">
        <f t="shared" si="0"/>
        <v>2893.4618</v>
      </c>
      <c r="R60" s="8">
        <f>1185.84+1185.84</f>
        <v>2371.6799999999998</v>
      </c>
      <c r="S60" s="21" t="s">
        <v>440</v>
      </c>
    </row>
    <row r="61" spans="1:19" ht="30" x14ac:dyDescent="0.25">
      <c r="A61" s="9" t="s">
        <v>262</v>
      </c>
      <c r="B61" s="9" t="s">
        <v>263</v>
      </c>
      <c r="C61" s="7" t="s">
        <v>2</v>
      </c>
      <c r="D61" s="9"/>
      <c r="E61" s="13">
        <v>45132</v>
      </c>
      <c r="F61" s="6" t="s">
        <v>265</v>
      </c>
      <c r="G61" s="6"/>
      <c r="H61" s="9" t="s">
        <v>276</v>
      </c>
      <c r="I61" s="10" t="s">
        <v>264</v>
      </c>
      <c r="J61" s="9">
        <v>4</v>
      </c>
      <c r="K61" s="10" t="s">
        <v>267</v>
      </c>
      <c r="L61" s="9">
        <v>2</v>
      </c>
      <c r="M61" s="6" t="s">
        <v>266</v>
      </c>
      <c r="N61" s="8">
        <v>500</v>
      </c>
      <c r="O61" s="8"/>
      <c r="P61" s="8">
        <f t="shared" si="2"/>
        <v>110</v>
      </c>
      <c r="Q61" s="8">
        <f t="shared" si="0"/>
        <v>610</v>
      </c>
      <c r="R61" s="8">
        <v>500</v>
      </c>
      <c r="S61" s="21">
        <v>45355</v>
      </c>
    </row>
    <row r="62" spans="1:19" ht="60" x14ac:dyDescent="0.25">
      <c r="A62" s="9" t="s">
        <v>281</v>
      </c>
      <c r="B62" s="9" t="s">
        <v>282</v>
      </c>
      <c r="C62" s="7"/>
      <c r="D62" s="9"/>
      <c r="E62" s="13">
        <v>45140</v>
      </c>
      <c r="F62" s="6" t="s">
        <v>283</v>
      </c>
      <c r="G62" s="6"/>
      <c r="H62" s="9" t="s">
        <v>27</v>
      </c>
      <c r="I62" s="10" t="s">
        <v>284</v>
      </c>
      <c r="J62" s="9">
        <v>3</v>
      </c>
      <c r="K62" s="6" t="s">
        <v>287</v>
      </c>
      <c r="L62" s="9">
        <v>2</v>
      </c>
      <c r="M62" s="6" t="s">
        <v>286</v>
      </c>
      <c r="N62" s="8">
        <v>16300</v>
      </c>
      <c r="O62" s="8">
        <f>N62*4%</f>
        <v>652</v>
      </c>
      <c r="P62" s="8">
        <f t="shared" si="2"/>
        <v>3729.44</v>
      </c>
      <c r="Q62" s="8">
        <f t="shared" si="0"/>
        <v>20681.439999999999</v>
      </c>
      <c r="R62" s="8">
        <v>12584</v>
      </c>
      <c r="S62" s="21">
        <v>45355</v>
      </c>
    </row>
    <row r="63" spans="1:19" ht="45" x14ac:dyDescent="0.25">
      <c r="A63" s="9" t="s">
        <v>288</v>
      </c>
      <c r="B63" s="9" t="s">
        <v>289</v>
      </c>
      <c r="C63" s="7"/>
      <c r="D63" s="9"/>
      <c r="E63" s="13">
        <v>45140</v>
      </c>
      <c r="F63" s="6" t="s">
        <v>298</v>
      </c>
      <c r="G63" s="6"/>
      <c r="H63" s="9" t="s">
        <v>297</v>
      </c>
      <c r="I63" s="10" t="s">
        <v>299</v>
      </c>
      <c r="J63" s="9">
        <v>6</v>
      </c>
      <c r="K63" s="10" t="s">
        <v>290</v>
      </c>
      <c r="L63" s="9">
        <v>2</v>
      </c>
      <c r="M63" s="10" t="s">
        <v>291</v>
      </c>
      <c r="N63" s="8">
        <v>3550</v>
      </c>
      <c r="O63" s="8"/>
      <c r="P63" s="8">
        <f t="shared" si="2"/>
        <v>781</v>
      </c>
      <c r="Q63" s="8">
        <f t="shared" si="0"/>
        <v>4331</v>
      </c>
      <c r="R63" s="8">
        <f>500</f>
        <v>500</v>
      </c>
      <c r="S63" s="21">
        <v>45504</v>
      </c>
    </row>
    <row r="64" spans="1:19" ht="60" x14ac:dyDescent="0.25">
      <c r="A64" s="9" t="s">
        <v>292</v>
      </c>
      <c r="B64" s="9" t="s">
        <v>293</v>
      </c>
      <c r="C64" s="7"/>
      <c r="D64" s="9"/>
      <c r="E64" s="13">
        <v>45142</v>
      </c>
      <c r="F64" s="6" t="s">
        <v>294</v>
      </c>
      <c r="G64" s="6"/>
      <c r="H64" s="9" t="s">
        <v>274</v>
      </c>
      <c r="I64" s="10" t="s">
        <v>295</v>
      </c>
      <c r="J64" s="9">
        <v>1</v>
      </c>
      <c r="K64" s="6" t="s">
        <v>296</v>
      </c>
      <c r="L64" s="9">
        <v>1</v>
      </c>
      <c r="M64" s="6" t="s">
        <v>296</v>
      </c>
      <c r="N64" s="8">
        <v>3000</v>
      </c>
      <c r="O64" s="8"/>
      <c r="P64" s="8">
        <f t="shared" si="2"/>
        <v>660</v>
      </c>
      <c r="Q64" s="8">
        <f t="shared" si="0"/>
        <v>3660</v>
      </c>
      <c r="R64" s="8">
        <v>3000</v>
      </c>
      <c r="S64" s="21">
        <v>45260</v>
      </c>
    </row>
    <row r="65" spans="1:19" ht="45" x14ac:dyDescent="0.25">
      <c r="C65" s="7"/>
      <c r="D65" s="9" t="s">
        <v>300</v>
      </c>
      <c r="E65" s="13">
        <v>45142</v>
      </c>
      <c r="F65" s="6"/>
      <c r="G65" s="6"/>
      <c r="H65" s="9" t="s">
        <v>42</v>
      </c>
      <c r="I65" s="10" t="s">
        <v>301</v>
      </c>
      <c r="J65" s="9">
        <v>2</v>
      </c>
      <c r="K65" s="10" t="s">
        <v>302</v>
      </c>
      <c r="L65" s="9">
        <v>2</v>
      </c>
      <c r="M65" s="6" t="s">
        <v>303</v>
      </c>
      <c r="N65" s="8">
        <v>3600</v>
      </c>
      <c r="O65" s="24">
        <f>N65*4%</f>
        <v>144</v>
      </c>
      <c r="P65" s="8">
        <f t="shared" si="2"/>
        <v>823.68</v>
      </c>
      <c r="Q65" s="8">
        <f t="shared" si="0"/>
        <v>4567.68</v>
      </c>
      <c r="R65" s="8">
        <f>1560+2080</f>
        <v>3640</v>
      </c>
      <c r="S65" s="21" t="s">
        <v>431</v>
      </c>
    </row>
    <row r="66" spans="1:19" ht="60" x14ac:dyDescent="0.25">
      <c r="A66" s="9" t="s">
        <v>305</v>
      </c>
      <c r="B66" s="11" t="s">
        <v>306</v>
      </c>
      <c r="C66" s="7"/>
      <c r="D66" s="9"/>
      <c r="E66" s="13">
        <v>45142</v>
      </c>
      <c r="F66" s="6" t="s">
        <v>307</v>
      </c>
      <c r="G66" s="6"/>
      <c r="H66" s="9" t="s">
        <v>274</v>
      </c>
      <c r="I66" s="10" t="s">
        <v>304</v>
      </c>
      <c r="J66" s="9">
        <v>1</v>
      </c>
      <c r="K66" s="6" t="s">
        <v>308</v>
      </c>
      <c r="L66" s="9">
        <v>1</v>
      </c>
      <c r="M66" s="6" t="s">
        <v>309</v>
      </c>
      <c r="N66" s="8">
        <v>9800</v>
      </c>
      <c r="O66" s="8">
        <f>N66*4%</f>
        <v>392</v>
      </c>
      <c r="P66" s="8">
        <f>(N66+O66)*0.22</f>
        <v>2242.2400000000002</v>
      </c>
      <c r="Q66" s="8">
        <f t="shared" si="0"/>
        <v>12434.24</v>
      </c>
      <c r="R66" s="8">
        <f>9800+392</f>
        <v>10192</v>
      </c>
      <c r="S66" s="21">
        <v>45379</v>
      </c>
    </row>
    <row r="67" spans="1:19" x14ac:dyDescent="0.25">
      <c r="A67" s="9"/>
      <c r="B67" s="11"/>
      <c r="C67" s="7"/>
      <c r="D67" s="9" t="s">
        <v>311</v>
      </c>
      <c r="E67" s="13">
        <v>45174</v>
      </c>
      <c r="F67" s="6"/>
      <c r="G67" s="6"/>
      <c r="H67" s="9" t="s">
        <v>27</v>
      </c>
      <c r="I67" s="10" t="s">
        <v>310</v>
      </c>
      <c r="J67" s="9">
        <v>1</v>
      </c>
      <c r="K67" s="6" t="s">
        <v>312</v>
      </c>
      <c r="L67" s="9">
        <v>1</v>
      </c>
      <c r="M67" s="6" t="s">
        <v>312</v>
      </c>
      <c r="N67" s="8">
        <v>5825</v>
      </c>
      <c r="O67" s="8"/>
      <c r="P67" s="8"/>
      <c r="Q67" s="8">
        <f t="shared" ref="Q67:Q93" si="3">N67+O67+P67</f>
        <v>5825</v>
      </c>
      <c r="R67" s="8">
        <v>4638.3999999999996</v>
      </c>
      <c r="S67" s="21">
        <v>45323</v>
      </c>
    </row>
    <row r="68" spans="1:19" ht="30" x14ac:dyDescent="0.25">
      <c r="A68" s="9" t="s">
        <v>313</v>
      </c>
      <c r="B68" s="9" t="s">
        <v>314</v>
      </c>
      <c r="C68" s="7"/>
      <c r="D68" s="9"/>
      <c r="E68" s="13">
        <v>45541</v>
      </c>
      <c r="F68" s="6" t="s">
        <v>316</v>
      </c>
      <c r="G68" s="6"/>
      <c r="H68" s="9" t="s">
        <v>274</v>
      </c>
      <c r="I68" s="10" t="s">
        <v>315</v>
      </c>
      <c r="J68" s="9">
        <v>1</v>
      </c>
      <c r="K68" s="6" t="s">
        <v>317</v>
      </c>
      <c r="L68" s="9">
        <v>1</v>
      </c>
      <c r="M68" s="6" t="s">
        <v>317</v>
      </c>
      <c r="N68" s="8">
        <v>6700</v>
      </c>
      <c r="O68" s="8"/>
      <c r="P68" s="8">
        <f>N68*0.22</f>
        <v>1474</v>
      </c>
      <c r="Q68" s="8">
        <f t="shared" si="3"/>
        <v>8174</v>
      </c>
      <c r="R68" s="8">
        <v>6700</v>
      </c>
      <c r="S68" s="21">
        <v>45260</v>
      </c>
    </row>
    <row r="69" spans="1:19" ht="45" x14ac:dyDescent="0.25">
      <c r="A69" s="9" t="s">
        <v>319</v>
      </c>
      <c r="B69" s="11" t="s">
        <v>318</v>
      </c>
      <c r="C69" s="7"/>
      <c r="D69" s="9"/>
      <c r="E69" s="13">
        <v>45184</v>
      </c>
      <c r="F69" s="6" t="s">
        <v>320</v>
      </c>
      <c r="G69" s="6"/>
      <c r="H69" s="9" t="s">
        <v>34</v>
      </c>
      <c r="I69" s="10" t="s">
        <v>321</v>
      </c>
      <c r="J69" s="9">
        <v>1</v>
      </c>
      <c r="K69" s="6" t="s">
        <v>322</v>
      </c>
      <c r="L69" s="9">
        <v>1</v>
      </c>
      <c r="M69" s="6" t="s">
        <v>323</v>
      </c>
      <c r="N69" s="8">
        <v>12750</v>
      </c>
      <c r="O69" s="8"/>
      <c r="P69" s="8">
        <f>N69*0.22</f>
        <v>2805</v>
      </c>
      <c r="Q69" s="8">
        <f>N69+O69+P69</f>
        <v>15555</v>
      </c>
      <c r="R69" s="33">
        <f>4250+4250+4250</f>
        <v>12750</v>
      </c>
      <c r="S69" s="21" t="s">
        <v>444</v>
      </c>
    </row>
    <row r="70" spans="1:19" ht="30" x14ac:dyDescent="0.25">
      <c r="A70" s="9" t="s">
        <v>324</v>
      </c>
      <c r="B70" s="11" t="s">
        <v>325</v>
      </c>
      <c r="C70" s="7"/>
      <c r="D70" s="9"/>
      <c r="E70" s="13">
        <v>45194</v>
      </c>
      <c r="F70" s="6" t="s">
        <v>327</v>
      </c>
      <c r="G70" s="6"/>
      <c r="H70" s="9" t="s">
        <v>42</v>
      </c>
      <c r="I70" s="10" t="s">
        <v>326</v>
      </c>
      <c r="J70" s="9">
        <v>3</v>
      </c>
      <c r="K70" s="10" t="s">
        <v>328</v>
      </c>
      <c r="L70" s="9">
        <v>1</v>
      </c>
      <c r="M70" s="6" t="s">
        <v>329</v>
      </c>
      <c r="N70" s="8">
        <v>2900</v>
      </c>
      <c r="O70" s="8"/>
      <c r="P70" s="8">
        <f>N70*0.22</f>
        <v>638</v>
      </c>
      <c r="Q70" s="8">
        <f>N70+O70+P70</f>
        <v>3538</v>
      </c>
      <c r="R70" s="8">
        <v>2900</v>
      </c>
      <c r="S70" s="21">
        <v>45655</v>
      </c>
    </row>
    <row r="71" spans="1:19" ht="30" x14ac:dyDescent="0.25">
      <c r="A71" s="9"/>
      <c r="B71" s="11"/>
      <c r="C71" s="7"/>
      <c r="D71" s="9" t="s">
        <v>330</v>
      </c>
      <c r="E71" s="13">
        <v>45218</v>
      </c>
      <c r="F71" s="6"/>
      <c r="G71" s="6"/>
      <c r="H71" s="9" t="s">
        <v>276</v>
      </c>
      <c r="I71" s="10" t="s">
        <v>331</v>
      </c>
      <c r="J71" s="9">
        <v>1</v>
      </c>
      <c r="K71" s="6" t="s">
        <v>332</v>
      </c>
      <c r="L71" s="9">
        <v>1</v>
      </c>
      <c r="M71" s="6" t="s">
        <v>332</v>
      </c>
      <c r="N71" s="8">
        <v>19500</v>
      </c>
      <c r="O71" s="8">
        <f>N71*4%</f>
        <v>780</v>
      </c>
      <c r="P71" s="8">
        <f>(N71+O71)*0.22</f>
        <v>4461.6000000000004</v>
      </c>
      <c r="Q71" s="8">
        <f t="shared" si="3"/>
        <v>24741.599999999999</v>
      </c>
      <c r="R71" s="8">
        <v>1794</v>
      </c>
      <c r="S71" s="21">
        <v>45355</v>
      </c>
    </row>
    <row r="72" spans="1:19" ht="30" x14ac:dyDescent="0.25">
      <c r="A72" s="9"/>
      <c r="B72" s="11"/>
      <c r="C72" s="7"/>
      <c r="D72" s="9" t="s">
        <v>333</v>
      </c>
      <c r="E72" s="13">
        <v>45219</v>
      </c>
      <c r="F72" s="6"/>
      <c r="G72" s="6"/>
      <c r="H72" s="9" t="s">
        <v>34</v>
      </c>
      <c r="I72" s="10" t="s">
        <v>334</v>
      </c>
      <c r="J72" s="9">
        <v>1</v>
      </c>
      <c r="K72" s="6" t="s">
        <v>335</v>
      </c>
      <c r="L72" s="9">
        <v>1</v>
      </c>
      <c r="M72" s="6" t="str">
        <f>K72</f>
        <v>dott.ssa Anna Senn</v>
      </c>
      <c r="N72" s="8">
        <v>2288</v>
      </c>
      <c r="O72" s="8"/>
      <c r="P72" s="8"/>
      <c r="Q72" s="8">
        <f t="shared" si="3"/>
        <v>2288</v>
      </c>
      <c r="R72" s="8">
        <v>2288</v>
      </c>
      <c r="S72" s="21" t="s">
        <v>425</v>
      </c>
    </row>
    <row r="73" spans="1:19" ht="30" x14ac:dyDescent="0.25">
      <c r="A73" s="9" t="s">
        <v>339</v>
      </c>
      <c r="B73" s="11" t="s">
        <v>340</v>
      </c>
      <c r="C73" s="7"/>
      <c r="D73" s="9"/>
      <c r="E73" s="13">
        <v>45223</v>
      </c>
      <c r="F73" s="6" t="s">
        <v>337</v>
      </c>
      <c r="G73" s="6"/>
      <c r="H73" s="9" t="s">
        <v>276</v>
      </c>
      <c r="I73" s="10" t="s">
        <v>336</v>
      </c>
      <c r="J73" s="9">
        <v>1</v>
      </c>
      <c r="K73" s="6" t="s">
        <v>338</v>
      </c>
      <c r="L73" s="9">
        <v>1</v>
      </c>
      <c r="M73" s="6" t="str">
        <f>K73</f>
        <v>Teamdev Srl</v>
      </c>
      <c r="N73" s="8">
        <v>2500</v>
      </c>
      <c r="O73" s="8"/>
      <c r="P73" s="8">
        <f>N73*0.22</f>
        <v>550</v>
      </c>
      <c r="Q73" s="8">
        <f t="shared" si="3"/>
        <v>3050</v>
      </c>
      <c r="R73" s="8">
        <v>2500</v>
      </c>
      <c r="S73" s="21">
        <v>45655</v>
      </c>
    </row>
    <row r="74" spans="1:19" ht="60" x14ac:dyDescent="0.25">
      <c r="A74" s="9"/>
      <c r="B74" s="11"/>
      <c r="C74" s="7"/>
      <c r="D74" s="9" t="s">
        <v>341</v>
      </c>
      <c r="E74" s="13">
        <v>45224</v>
      </c>
      <c r="F74" s="6"/>
      <c r="G74" s="6"/>
      <c r="H74" s="9" t="s">
        <v>42</v>
      </c>
      <c r="I74" s="10" t="s">
        <v>342</v>
      </c>
      <c r="J74" s="9">
        <v>1</v>
      </c>
      <c r="K74" s="6" t="s">
        <v>343</v>
      </c>
      <c r="L74" s="9">
        <v>1</v>
      </c>
      <c r="M74" s="6" t="str">
        <f>K74</f>
        <v>Dott. Stefano Monti</v>
      </c>
      <c r="N74" s="8">
        <v>3400</v>
      </c>
      <c r="O74" s="8">
        <f>N74*4%</f>
        <v>136</v>
      </c>
      <c r="P74" s="8">
        <f>(N74+O74)*0.22</f>
        <v>777.92</v>
      </c>
      <c r="Q74" s="8">
        <f t="shared" si="3"/>
        <v>4313.92</v>
      </c>
      <c r="R74" s="8">
        <v>3400</v>
      </c>
      <c r="S74" s="21">
        <v>45471</v>
      </c>
    </row>
    <row r="75" spans="1:19" ht="105" x14ac:dyDescent="0.25">
      <c r="A75" s="9" t="s">
        <v>344</v>
      </c>
      <c r="B75" s="11" t="s">
        <v>345</v>
      </c>
      <c r="C75" s="7"/>
      <c r="D75" s="9"/>
      <c r="E75" s="13">
        <v>45230</v>
      </c>
      <c r="F75" s="6" t="s">
        <v>349</v>
      </c>
      <c r="G75" s="6"/>
      <c r="H75" s="9" t="s">
        <v>42</v>
      </c>
      <c r="I75" s="10" t="s">
        <v>346</v>
      </c>
      <c r="J75" s="9">
        <v>3</v>
      </c>
      <c r="K75" s="10" t="s">
        <v>347</v>
      </c>
      <c r="L75" s="9">
        <v>3</v>
      </c>
      <c r="M75" s="6" t="s">
        <v>348</v>
      </c>
      <c r="N75" s="8">
        <v>10707</v>
      </c>
      <c r="O75" s="8">
        <f>N75*0.04</f>
        <v>428.28000000000003</v>
      </c>
      <c r="P75" s="8">
        <f>(N75+O75)*0.22</f>
        <v>2449.7616000000003</v>
      </c>
      <c r="Q75" s="8">
        <f t="shared" si="3"/>
        <v>13585.0416</v>
      </c>
      <c r="R75" s="8">
        <v>2379.52</v>
      </c>
      <c r="S75" s="21">
        <v>45355</v>
      </c>
    </row>
    <row r="76" spans="1:19" ht="30" x14ac:dyDescent="0.25">
      <c r="A76" s="9"/>
      <c r="B76" s="11"/>
      <c r="C76" s="7"/>
      <c r="D76" s="9" t="s">
        <v>350</v>
      </c>
      <c r="E76" s="13">
        <v>45233</v>
      </c>
      <c r="F76" s="6"/>
      <c r="G76" s="6"/>
      <c r="H76" s="9" t="s">
        <v>22</v>
      </c>
      <c r="I76" s="10" t="s">
        <v>352</v>
      </c>
      <c r="J76" s="9">
        <v>1</v>
      </c>
      <c r="K76" s="6" t="s">
        <v>351</v>
      </c>
      <c r="L76" s="9">
        <v>1</v>
      </c>
      <c r="M76" s="6" t="str">
        <f t="shared" ref="M76:M82" si="4">K76</f>
        <v>dott.ssa Rossana Andreotti</v>
      </c>
      <c r="N76" s="8">
        <v>8493.1299999999992</v>
      </c>
      <c r="O76" s="8"/>
      <c r="P76" s="8"/>
      <c r="Q76" s="8">
        <f t="shared" si="3"/>
        <v>8493.1299999999992</v>
      </c>
      <c r="R76" s="8">
        <v>8493.1299999999992</v>
      </c>
      <c r="S76" s="21">
        <v>45366</v>
      </c>
    </row>
    <row r="77" spans="1:19" ht="30" x14ac:dyDescent="0.25">
      <c r="A77" s="9"/>
      <c r="B77" s="11"/>
      <c r="C77" s="7"/>
      <c r="D77" s="9" t="s">
        <v>355</v>
      </c>
      <c r="E77" s="13"/>
      <c r="F77" s="6"/>
      <c r="G77" s="6"/>
      <c r="H77" s="9" t="s">
        <v>22</v>
      </c>
      <c r="I77" s="10" t="s">
        <v>353</v>
      </c>
      <c r="J77" s="9">
        <v>1</v>
      </c>
      <c r="K77" s="6" t="s">
        <v>354</v>
      </c>
      <c r="L77" s="9">
        <v>1</v>
      </c>
      <c r="M77" s="6" t="str">
        <f t="shared" si="4"/>
        <v>dott Angelo Salvi</v>
      </c>
      <c r="N77" s="8">
        <v>2479.11</v>
      </c>
      <c r="O77" s="8"/>
      <c r="P77" s="8">
        <v>545.4</v>
      </c>
      <c r="Q77" s="8">
        <f t="shared" si="3"/>
        <v>3024.51</v>
      </c>
      <c r="R77" s="8">
        <v>2479.11</v>
      </c>
      <c r="S77" s="21">
        <v>45323</v>
      </c>
    </row>
    <row r="78" spans="1:19" ht="30" x14ac:dyDescent="0.25">
      <c r="A78" s="9"/>
      <c r="B78" s="11"/>
      <c r="C78" s="7"/>
      <c r="D78" s="9" t="s">
        <v>356</v>
      </c>
      <c r="E78" s="13">
        <v>45239</v>
      </c>
      <c r="F78" s="6"/>
      <c r="G78" s="6"/>
      <c r="H78" s="9" t="s">
        <v>34</v>
      </c>
      <c r="I78" s="10" t="s">
        <v>357</v>
      </c>
      <c r="J78" s="9">
        <v>1</v>
      </c>
      <c r="K78" s="6" t="s">
        <v>358</v>
      </c>
      <c r="L78" s="9">
        <v>1</v>
      </c>
      <c r="M78" s="6" t="str">
        <f t="shared" si="4"/>
        <v>Prof. Frascarelli</v>
      </c>
      <c r="N78" s="8">
        <v>1600</v>
      </c>
      <c r="O78" s="8"/>
      <c r="P78" s="8"/>
      <c r="Q78" s="8">
        <f t="shared" si="3"/>
        <v>1600</v>
      </c>
      <c r="R78" s="8">
        <v>1600</v>
      </c>
      <c r="S78" s="21">
        <v>45289</v>
      </c>
    </row>
    <row r="79" spans="1:19" ht="30" x14ac:dyDescent="0.25">
      <c r="A79" s="9" t="s">
        <v>359</v>
      </c>
      <c r="B79" s="11" t="s">
        <v>360</v>
      </c>
      <c r="C79" s="7"/>
      <c r="D79" s="9"/>
      <c r="E79" s="13">
        <v>45239</v>
      </c>
      <c r="F79" s="6" t="s">
        <v>366</v>
      </c>
      <c r="G79" s="6"/>
      <c r="H79" s="9" t="s">
        <v>22</v>
      </c>
      <c r="I79" s="10" t="s">
        <v>361</v>
      </c>
      <c r="J79" s="9">
        <v>1</v>
      </c>
      <c r="K79" s="6" t="s">
        <v>362</v>
      </c>
      <c r="L79" s="9">
        <v>1</v>
      </c>
      <c r="M79" s="6" t="str">
        <f t="shared" si="4"/>
        <v>Arredi3n</v>
      </c>
      <c r="N79" s="8">
        <v>17092</v>
      </c>
      <c r="O79" s="8"/>
      <c r="P79" s="8">
        <f>N79*0.22</f>
        <v>3760.2400000000002</v>
      </c>
      <c r="Q79" s="8">
        <f t="shared" si="3"/>
        <v>20852.240000000002</v>
      </c>
      <c r="R79" s="8">
        <v>17092</v>
      </c>
      <c r="S79" s="21">
        <v>45323</v>
      </c>
    </row>
    <row r="80" spans="1:19" ht="45" x14ac:dyDescent="0.25">
      <c r="A80" s="9" t="s">
        <v>363</v>
      </c>
      <c r="B80" s="11" t="s">
        <v>364</v>
      </c>
      <c r="C80" s="7"/>
      <c r="D80" s="9"/>
      <c r="E80" s="13">
        <v>45247</v>
      </c>
      <c r="F80" s="6" t="s">
        <v>365</v>
      </c>
      <c r="G80" s="6"/>
      <c r="H80" s="9" t="s">
        <v>34</v>
      </c>
      <c r="I80" s="10" t="s">
        <v>368</v>
      </c>
      <c r="J80" s="9">
        <v>1</v>
      </c>
      <c r="K80" s="6" t="s">
        <v>367</v>
      </c>
      <c r="L80" s="9">
        <v>1</v>
      </c>
      <c r="M80" s="6" t="str">
        <f t="shared" si="4"/>
        <v>Progetto Arca</v>
      </c>
      <c r="N80" s="8">
        <f>2940+5670</f>
        <v>8610</v>
      </c>
      <c r="O80" s="8"/>
      <c r="P80" s="8">
        <f>(2940*0.22)+(5670*10%)</f>
        <v>1213.8</v>
      </c>
      <c r="Q80" s="8">
        <f t="shared" si="3"/>
        <v>9823.7999999999993</v>
      </c>
      <c r="R80" s="8">
        <f>2940+5238</f>
        <v>8178</v>
      </c>
      <c r="S80" s="21" t="s">
        <v>428</v>
      </c>
    </row>
    <row r="81" spans="1:19" ht="30" x14ac:dyDescent="0.25">
      <c r="A81" s="9"/>
      <c r="B81" s="11"/>
      <c r="C81" s="7"/>
      <c r="D81" s="9" t="s">
        <v>369</v>
      </c>
      <c r="E81" s="13">
        <v>45247</v>
      </c>
      <c r="F81" s="6"/>
      <c r="G81" s="6"/>
      <c r="H81" s="9" t="s">
        <v>22</v>
      </c>
      <c r="I81" s="10" t="s">
        <v>370</v>
      </c>
      <c r="J81" s="9">
        <v>1</v>
      </c>
      <c r="K81" s="6" t="s">
        <v>81</v>
      </c>
      <c r="L81" s="9">
        <v>1</v>
      </c>
      <c r="M81" s="6" t="str">
        <f t="shared" si="4"/>
        <v>Gabriele Montingelli</v>
      </c>
      <c r="N81" s="8">
        <v>4900</v>
      </c>
      <c r="O81" s="8"/>
      <c r="P81" s="8">
        <f>N81*0.22</f>
        <v>1078</v>
      </c>
      <c r="Q81" s="8">
        <f t="shared" si="3"/>
        <v>5978</v>
      </c>
      <c r="R81" s="8">
        <f>500+2800+1600</f>
        <v>4900</v>
      </c>
      <c r="S81" s="21" t="s">
        <v>427</v>
      </c>
    </row>
    <row r="82" spans="1:19" ht="45" x14ac:dyDescent="0.25">
      <c r="A82" s="9" t="s">
        <v>372</v>
      </c>
      <c r="B82" s="11" t="s">
        <v>373</v>
      </c>
      <c r="C82" s="7"/>
      <c r="D82" s="9"/>
      <c r="E82" s="13">
        <v>45251</v>
      </c>
      <c r="F82" s="6" t="s">
        <v>374</v>
      </c>
      <c r="G82" s="6"/>
      <c r="H82" s="9" t="s">
        <v>106</v>
      </c>
      <c r="I82" s="10" t="s">
        <v>371</v>
      </c>
      <c r="J82" s="9">
        <v>1</v>
      </c>
      <c r="K82" s="6" t="s">
        <v>375</v>
      </c>
      <c r="L82" s="9">
        <v>1</v>
      </c>
      <c r="M82" s="6" t="str">
        <f t="shared" si="4"/>
        <v>K2real</v>
      </c>
      <c r="N82" s="8">
        <v>1000</v>
      </c>
      <c r="O82" s="8"/>
      <c r="P82" s="8">
        <f>N82*0.22</f>
        <v>220</v>
      </c>
      <c r="Q82" s="8">
        <f t="shared" si="3"/>
        <v>1220</v>
      </c>
      <c r="R82" s="8">
        <v>1000</v>
      </c>
      <c r="S82" s="21">
        <v>45355</v>
      </c>
    </row>
    <row r="83" spans="1:19" ht="45" x14ac:dyDescent="0.25">
      <c r="A83" s="9" t="s">
        <v>376</v>
      </c>
      <c r="B83" s="9" t="s">
        <v>377</v>
      </c>
      <c r="C83" s="7"/>
      <c r="D83" s="9"/>
      <c r="E83" s="13">
        <v>45251</v>
      </c>
      <c r="F83" s="6" t="s">
        <v>379</v>
      </c>
      <c r="G83" s="6"/>
      <c r="H83" s="9" t="s">
        <v>27</v>
      </c>
      <c r="I83" s="10" t="s">
        <v>378</v>
      </c>
      <c r="J83" s="9">
        <v>3</v>
      </c>
      <c r="K83" s="10" t="s">
        <v>380</v>
      </c>
      <c r="L83" s="9">
        <v>2</v>
      </c>
      <c r="M83" s="6" t="s">
        <v>375</v>
      </c>
      <c r="N83" s="8">
        <v>600</v>
      </c>
      <c r="O83" s="8"/>
      <c r="P83" s="8">
        <f>N83*0.22</f>
        <v>132</v>
      </c>
      <c r="Q83" s="8">
        <f t="shared" si="3"/>
        <v>732</v>
      </c>
      <c r="R83" s="8">
        <v>600</v>
      </c>
      <c r="S83" s="21">
        <v>45355</v>
      </c>
    </row>
    <row r="84" spans="1:19" ht="45" x14ac:dyDescent="0.25">
      <c r="A84" s="9" t="s">
        <v>381</v>
      </c>
      <c r="B84" s="9" t="s">
        <v>382</v>
      </c>
      <c r="C84" s="7"/>
      <c r="D84" s="9"/>
      <c r="E84" s="13">
        <v>45258</v>
      </c>
      <c r="F84" s="6" t="s">
        <v>384</v>
      </c>
      <c r="G84" s="6"/>
      <c r="H84" s="9" t="s">
        <v>22</v>
      </c>
      <c r="I84" s="10" t="s">
        <v>383</v>
      </c>
      <c r="J84" s="9">
        <v>3</v>
      </c>
      <c r="K84" s="10" t="s">
        <v>385</v>
      </c>
      <c r="L84" s="9">
        <v>2</v>
      </c>
      <c r="M84" s="6" t="s">
        <v>386</v>
      </c>
      <c r="N84" s="8">
        <v>38000</v>
      </c>
      <c r="O84" s="8">
        <f>N84*0.04</f>
        <v>1520</v>
      </c>
      <c r="P84" s="8">
        <f>(N84+O84)*0.22</f>
        <v>8694.4</v>
      </c>
      <c r="Q84" s="8">
        <f t="shared" si="3"/>
        <v>48214.400000000001</v>
      </c>
      <c r="R84" s="8">
        <v>6032</v>
      </c>
      <c r="S84" s="21">
        <v>45355</v>
      </c>
    </row>
    <row r="85" spans="1:19" ht="30" x14ac:dyDescent="0.25">
      <c r="A85" s="9"/>
      <c r="B85" s="11"/>
      <c r="C85" s="7"/>
      <c r="D85" s="9" t="s">
        <v>387</v>
      </c>
      <c r="E85" s="13">
        <v>45264</v>
      </c>
      <c r="F85" s="6"/>
      <c r="G85" s="6"/>
      <c r="H85" s="9" t="s">
        <v>34</v>
      </c>
      <c r="I85" s="10" t="s">
        <v>388</v>
      </c>
      <c r="J85" s="9">
        <v>1</v>
      </c>
      <c r="K85" s="6" t="s">
        <v>389</v>
      </c>
      <c r="L85" s="9">
        <v>1</v>
      </c>
      <c r="M85" s="6" t="str">
        <f>K85</f>
        <v>Prof.Tabacchi</v>
      </c>
      <c r="N85" s="8">
        <v>400</v>
      </c>
      <c r="O85" s="8"/>
      <c r="P85" s="8"/>
      <c r="Q85" s="8">
        <f t="shared" si="3"/>
        <v>400</v>
      </c>
      <c r="R85" s="8">
        <v>400</v>
      </c>
      <c r="S85" s="21">
        <v>45289</v>
      </c>
    </row>
    <row r="86" spans="1:19" ht="90" x14ac:dyDescent="0.25">
      <c r="A86" s="9" t="s">
        <v>390</v>
      </c>
      <c r="B86" s="9" t="s">
        <v>435</v>
      </c>
      <c r="C86" s="7"/>
      <c r="D86" s="9"/>
      <c r="E86" s="13">
        <v>45369</v>
      </c>
      <c r="F86" s="6" t="s">
        <v>438</v>
      </c>
      <c r="G86" s="6"/>
      <c r="H86" s="9" t="s">
        <v>42</v>
      </c>
      <c r="I86" s="10" t="s">
        <v>391</v>
      </c>
      <c r="J86" s="9"/>
      <c r="K86" s="40" t="s">
        <v>436</v>
      </c>
      <c r="L86" s="9">
        <v>2</v>
      </c>
      <c r="M86" s="40" t="s">
        <v>437</v>
      </c>
      <c r="N86" s="8">
        <v>53970</v>
      </c>
      <c r="O86" s="8">
        <f>N86*4/100</f>
        <v>2158.8000000000002</v>
      </c>
      <c r="P86" s="8">
        <f>(N86+O86)*22/100</f>
        <v>12348.336000000001</v>
      </c>
      <c r="Q86" s="8">
        <f t="shared" si="3"/>
        <v>68477.135999999999</v>
      </c>
      <c r="R86" s="8">
        <v>6147.4740000000002</v>
      </c>
      <c r="S86" s="21" t="s">
        <v>439</v>
      </c>
    </row>
    <row r="87" spans="1:19" ht="30" x14ac:dyDescent="0.25">
      <c r="A87" s="9" t="s">
        <v>392</v>
      </c>
      <c r="B87" s="9" t="s">
        <v>393</v>
      </c>
      <c r="C87" s="7"/>
      <c r="D87" s="9"/>
      <c r="E87" s="13">
        <v>45266</v>
      </c>
      <c r="F87" s="6" t="s">
        <v>396</v>
      </c>
      <c r="G87" s="6"/>
      <c r="H87" s="9" t="s">
        <v>22</v>
      </c>
      <c r="I87" s="10" t="s">
        <v>394</v>
      </c>
      <c r="J87" s="9">
        <v>1</v>
      </c>
      <c r="K87" s="6" t="s">
        <v>395</v>
      </c>
      <c r="L87" s="9">
        <v>1</v>
      </c>
      <c r="M87" s="6" t="str">
        <f>K87</f>
        <v>Cassa di Assistenza Previline</v>
      </c>
      <c r="N87" s="8">
        <v>39740</v>
      </c>
      <c r="O87" s="8"/>
      <c r="P87" s="8"/>
      <c r="Q87" s="8">
        <f t="shared" si="3"/>
        <v>39740</v>
      </c>
      <c r="R87" s="8">
        <f>939.58+3867.33+14200.52+20718.09</f>
        <v>39725.520000000004</v>
      </c>
      <c r="S87" s="21" t="s">
        <v>434</v>
      </c>
    </row>
    <row r="88" spans="1:19" ht="30" x14ac:dyDescent="0.25">
      <c r="A88" s="9" t="s">
        <v>397</v>
      </c>
      <c r="B88" s="9" t="s">
        <v>398</v>
      </c>
      <c r="C88" s="7"/>
      <c r="D88" s="9"/>
      <c r="E88" s="13">
        <v>45266</v>
      </c>
      <c r="F88" s="6" t="s">
        <v>399</v>
      </c>
      <c r="G88" s="6"/>
      <c r="H88" s="9" t="s">
        <v>106</v>
      </c>
      <c r="I88" s="10" t="s">
        <v>400</v>
      </c>
      <c r="J88" s="9">
        <v>1</v>
      </c>
      <c r="K88" s="6" t="s">
        <v>401</v>
      </c>
      <c r="L88" s="9">
        <v>1</v>
      </c>
      <c r="M88" s="6" t="str">
        <f>K87:K88</f>
        <v>Vicsam Sistemi Srl</v>
      </c>
      <c r="N88" s="8">
        <v>4760</v>
      </c>
      <c r="O88" s="8"/>
      <c r="P88" s="8">
        <f>N88*0.22</f>
        <v>1047.2</v>
      </c>
      <c r="Q88" s="8">
        <f t="shared" si="3"/>
        <v>5807.2</v>
      </c>
      <c r="R88" s="8">
        <f>1587.67+1587.67</f>
        <v>3175.34</v>
      </c>
      <c r="S88" s="21" t="s">
        <v>442</v>
      </c>
    </row>
    <row r="89" spans="1:19" ht="30" x14ac:dyDescent="0.25">
      <c r="A89" s="9" t="s">
        <v>402</v>
      </c>
      <c r="B89" s="9" t="s">
        <v>403</v>
      </c>
      <c r="C89" s="7"/>
      <c r="D89" s="9"/>
      <c r="E89" s="13">
        <v>45271</v>
      </c>
      <c r="F89" s="6" t="s">
        <v>405</v>
      </c>
      <c r="G89" s="6"/>
      <c r="H89" s="9" t="s">
        <v>106</v>
      </c>
      <c r="I89" s="10" t="s">
        <v>404</v>
      </c>
      <c r="J89" s="9">
        <v>1</v>
      </c>
      <c r="K89" s="6" t="s">
        <v>406</v>
      </c>
      <c r="L89" s="9">
        <v>1</v>
      </c>
      <c r="M89" s="6" t="str">
        <f>K89</f>
        <v>TeamSystem Spa</v>
      </c>
      <c r="N89" s="8">
        <v>18740</v>
      </c>
      <c r="O89" s="8"/>
      <c r="P89" s="8">
        <f>N89*0.22</f>
        <v>4122.8</v>
      </c>
      <c r="Q89" s="8">
        <f t="shared" si="3"/>
        <v>22862.799999999999</v>
      </c>
      <c r="R89" s="43"/>
      <c r="S89" s="44"/>
    </row>
    <row r="90" spans="1:19" ht="30" x14ac:dyDescent="0.25">
      <c r="A90" s="9"/>
      <c r="B90" s="11"/>
      <c r="C90" s="7"/>
      <c r="D90" s="9" t="s">
        <v>408</v>
      </c>
      <c r="E90" s="13">
        <v>45272</v>
      </c>
      <c r="F90" s="6"/>
      <c r="G90" s="6"/>
      <c r="H90" s="9" t="s">
        <v>34</v>
      </c>
      <c r="I90" s="10" t="s">
        <v>407</v>
      </c>
      <c r="J90" s="9">
        <v>1</v>
      </c>
      <c r="K90" s="6" t="s">
        <v>409</v>
      </c>
      <c r="L90" s="9">
        <v>1</v>
      </c>
      <c r="M90" s="6" t="str">
        <f>K90</f>
        <v>Prof Borreani</v>
      </c>
      <c r="N90" s="8">
        <v>5000</v>
      </c>
      <c r="O90" s="8"/>
      <c r="P90" s="8"/>
      <c r="Q90" s="8">
        <f t="shared" si="3"/>
        <v>5000</v>
      </c>
      <c r="R90" s="8">
        <f>1500+3500</f>
        <v>5000</v>
      </c>
      <c r="S90" s="21" t="s">
        <v>426</v>
      </c>
    </row>
    <row r="91" spans="1:19" ht="30" x14ac:dyDescent="0.25">
      <c r="A91" s="9" t="s">
        <v>410</v>
      </c>
      <c r="B91" s="9" t="s">
        <v>411</v>
      </c>
      <c r="C91" s="7"/>
      <c r="D91" s="9"/>
      <c r="E91" s="13">
        <v>45274</v>
      </c>
      <c r="F91" s="6" t="s">
        <v>412</v>
      </c>
      <c r="G91" s="6"/>
      <c r="H91" s="9" t="s">
        <v>22</v>
      </c>
      <c r="I91" s="10" t="s">
        <v>413</v>
      </c>
      <c r="J91" s="9">
        <v>1</v>
      </c>
      <c r="K91" s="6" t="s">
        <v>414</v>
      </c>
      <c r="L91" s="9">
        <v>1</v>
      </c>
      <c r="M91" s="6" t="str">
        <f>K91</f>
        <v>Car Service di Schidoni Massimo Snc</v>
      </c>
      <c r="N91" s="8">
        <v>2798</v>
      </c>
      <c r="O91" s="8"/>
      <c r="P91" s="8">
        <f>N91*0.22</f>
        <v>615.56000000000006</v>
      </c>
      <c r="Q91" s="8">
        <f t="shared" si="3"/>
        <v>3413.56</v>
      </c>
      <c r="R91" s="8">
        <v>2798</v>
      </c>
      <c r="S91" s="21">
        <v>45289</v>
      </c>
    </row>
    <row r="92" spans="1:19" ht="60" x14ac:dyDescent="0.25">
      <c r="A92" s="9"/>
      <c r="B92" s="11"/>
      <c r="C92" s="7"/>
      <c r="D92" s="9" t="s">
        <v>416</v>
      </c>
      <c r="E92" s="13">
        <v>45275</v>
      </c>
      <c r="F92" s="6"/>
      <c r="G92" s="6"/>
      <c r="H92" s="9"/>
      <c r="I92" s="10" t="s">
        <v>415</v>
      </c>
      <c r="J92" s="9">
        <v>1</v>
      </c>
      <c r="K92" s="6" t="s">
        <v>417</v>
      </c>
      <c r="L92" s="9">
        <v>1</v>
      </c>
      <c r="M92" s="6" t="str">
        <f>K92</f>
        <v>Michele Russo</v>
      </c>
      <c r="N92" s="8">
        <v>1250</v>
      </c>
      <c r="O92" s="8"/>
      <c r="P92" s="8"/>
      <c r="Q92" s="8">
        <f t="shared" si="3"/>
        <v>1250</v>
      </c>
      <c r="R92" s="8">
        <v>1250</v>
      </c>
      <c r="S92" s="21">
        <v>45289</v>
      </c>
    </row>
    <row r="93" spans="1:19" ht="150" x14ac:dyDescent="0.25">
      <c r="A93" s="25" t="s">
        <v>418</v>
      </c>
      <c r="B93" s="25" t="s">
        <v>419</v>
      </c>
      <c r="C93" s="25"/>
      <c r="D93" s="25"/>
      <c r="E93" s="28"/>
      <c r="F93" s="29"/>
      <c r="G93" s="29"/>
      <c r="H93" s="25"/>
      <c r="I93" s="18" t="s">
        <v>420</v>
      </c>
      <c r="J93" s="25">
        <v>2</v>
      </c>
      <c r="K93" s="29" t="s">
        <v>421</v>
      </c>
      <c r="L93" s="25">
        <v>2</v>
      </c>
      <c r="M93" s="29" t="s">
        <v>422</v>
      </c>
      <c r="N93" s="30">
        <v>24000</v>
      </c>
      <c r="O93" s="30"/>
      <c r="P93" s="30">
        <f>N93*0.22</f>
        <v>5280</v>
      </c>
      <c r="Q93" s="30">
        <f t="shared" si="3"/>
        <v>29280</v>
      </c>
      <c r="R93" s="30">
        <f>2700+2750+6200+2750+(916.66*6)</f>
        <v>19899.96</v>
      </c>
      <c r="S93" s="21" t="s">
        <v>443</v>
      </c>
    </row>
  </sheetData>
  <autoFilter ref="A1:XEY93" xr:uid="{00000000-0009-0000-0000-000000000000}"/>
  <sortState xmlns:xlrd2="http://schemas.microsoft.com/office/spreadsheetml/2017/richdata2" ref="AA2:AA11">
    <sortCondition ref="AA2"/>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2F107B4982BC409B6C6880945A1A16" ma:contentTypeVersion="13" ma:contentTypeDescription="Creare un nuovo documento." ma:contentTypeScope="" ma:versionID="b7cde630666e061e1eefdf6f39efb221">
  <xsd:schema xmlns:xsd="http://www.w3.org/2001/XMLSchema" xmlns:xs="http://www.w3.org/2001/XMLSchema" xmlns:p="http://schemas.microsoft.com/office/2006/metadata/properties" xmlns:ns2="fe87937a-f534-4ebd-8762-938ad6f6f6dd" xmlns:ns3="2b1f6e50-5d7f-40aa-861c-0a96b99c62ab" targetNamespace="http://schemas.microsoft.com/office/2006/metadata/properties" ma:root="true" ma:fieldsID="5682bad80f14e764d5bac3748856caa9" ns2:_="" ns3:_="">
    <xsd:import namespace="fe87937a-f534-4ebd-8762-938ad6f6f6dd"/>
    <xsd:import namespace="2b1f6e50-5d7f-40aa-861c-0a96b99c62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7937a-f534-4ebd-8762-938ad6f6f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101b8236-ed1b-4872-bbdb-2ac21e9683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f6e50-5d7f-40aa-861c-0a96b99c62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8c861ac-92ef-474f-b976-0aae6231203f}" ma:internalName="TaxCatchAll" ma:showField="CatchAllData" ma:web="2b1f6e50-5d7f-40aa-861c-0a96b99c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b1f6e50-5d7f-40aa-861c-0a96b99c62ab" xsi:nil="true"/>
    <lcf76f155ced4ddcb4097134ff3c332f xmlns="fe87937a-f534-4ebd-8762-938ad6f6f6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B7E7DF-0C55-4C7C-AFC7-18ECE5E9F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7937a-f534-4ebd-8762-938ad6f6f6dd"/>
    <ds:schemaRef ds:uri="2b1f6e50-5d7f-40aa-861c-0a96b99c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03995D-CDA2-4697-A0AB-BFBE0D395AB4}">
  <ds:schemaRefs>
    <ds:schemaRef ds:uri="http://schemas.microsoft.com/office/2006/metadata/properties"/>
    <ds:schemaRef ds:uri="http://schemas.microsoft.com/office/infopath/2007/PartnerControls"/>
    <ds:schemaRef ds:uri="2b1f6e50-5d7f-40aa-861c-0a96b99c62ab"/>
    <ds:schemaRef ds:uri="fe87937a-f534-4ebd-8762-938ad6f6f6dd"/>
  </ds:schemaRefs>
</ds:datastoreItem>
</file>

<file path=customXml/itemProps3.xml><?xml version="1.0" encoding="utf-8"?>
<ds:datastoreItem xmlns:ds="http://schemas.openxmlformats.org/officeDocument/2006/customXml" ds:itemID="{DFCB187A-54AA-49AE-9910-1882913A27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sotto 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2026-09-16T05:43:10Z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0x010100612F107B4982BC409B6C6880945A1A16</vt:lpwstr>
  </property>
  <property fmtid="{D5CDD505-2E9C-101B-9397-08002B2CF9AE}" pid="3" name="MediaServiceImageTags">
    <vt:lpwstr/>
  </property>
</Properties>
</file>