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ra.tomasi\CloudStation\06.Trasparenza\07.Attivita_Procedimenti\"/>
    </mc:Choice>
  </mc:AlternateContent>
  <bookViews>
    <workbookView xWindow="0" yWindow="0" windowWidth="28800" windowHeight="13020"/>
  </bookViews>
  <sheets>
    <sheet name="ordini ist_comm" sheetId="1" r:id="rId1"/>
    <sheet name="riepilogo ore legali" sheetId="2" r:id="rId2"/>
  </sheets>
  <definedNames>
    <definedName name="_xlnm._FilterDatabase" localSheetId="0" hidden="1">'ordini ist_comm'!$A$1:$Z$91</definedName>
    <definedName name="_xlnm.Print_Area" localSheetId="0">'ordini ist_comm'!$A$1:$Z$91</definedName>
    <definedName name="_xlnm.Print_Titles" localSheetId="0">'ordini ist_comm'!$1:$1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37" i="1" l="1"/>
  <c r="Z66" i="1" l="1"/>
  <c r="Z50" i="1"/>
  <c r="Z61" i="1"/>
  <c r="Z79" i="1" l="1"/>
  <c r="Z78" i="1"/>
  <c r="Z67" i="1"/>
  <c r="Z36" i="1"/>
  <c r="Z34" i="1"/>
  <c r="Z35" i="1"/>
  <c r="Z28" i="1"/>
  <c r="Z33" i="1" l="1"/>
  <c r="Z41" i="1"/>
  <c r="Z38" i="1"/>
  <c r="Z31" i="1"/>
  <c r="Z29" i="1"/>
  <c r="Z27" i="1"/>
  <c r="Z26" i="1"/>
  <c r="Z25" i="1"/>
  <c r="Z7" i="1"/>
  <c r="Z6" i="1"/>
  <c r="Z5" i="1"/>
  <c r="Z4" i="1"/>
  <c r="Z20" i="1"/>
  <c r="Z19" i="1"/>
  <c r="Z18" i="1"/>
  <c r="Z17" i="1"/>
  <c r="Z13" i="1"/>
  <c r="Z14" i="1"/>
  <c r="Z15" i="1"/>
  <c r="Z21" i="1"/>
  <c r="P75" i="1" l="1"/>
  <c r="P60" i="1"/>
  <c r="P54" i="1"/>
  <c r="P51" i="1"/>
  <c r="P42" i="1"/>
  <c r="P33" i="1"/>
  <c r="P28" i="1"/>
  <c r="P27" i="1"/>
  <c r="P25" i="1"/>
  <c r="P24" i="1"/>
  <c r="P23" i="1"/>
  <c r="P11" i="1"/>
  <c r="P10" i="1"/>
  <c r="P9" i="1"/>
  <c r="P8" i="1"/>
  <c r="P5" i="1"/>
  <c r="T75" i="1" l="1"/>
  <c r="P74" i="1"/>
  <c r="Q72" i="1"/>
  <c r="T72" i="1" s="1"/>
  <c r="R71" i="1"/>
  <c r="T71" i="1" s="1"/>
  <c r="Q70" i="1"/>
  <c r="T70" i="1" s="1"/>
  <c r="T69" i="1"/>
  <c r="T73" i="1"/>
  <c r="T74" i="1"/>
  <c r="T76" i="1"/>
  <c r="P68" i="1"/>
  <c r="T68" i="1" s="1"/>
  <c r="T66" i="1"/>
  <c r="T67" i="1"/>
  <c r="T61" i="1"/>
  <c r="T63" i="1"/>
  <c r="T34" i="1"/>
  <c r="T36" i="1"/>
  <c r="T65" i="1"/>
  <c r="Q64" i="1"/>
  <c r="T64" i="1" s="1"/>
  <c r="Q62" i="1" l="1"/>
  <c r="T62" i="1" s="1"/>
  <c r="P61" i="1"/>
  <c r="Q60" i="1"/>
  <c r="T60" i="1" s="1"/>
  <c r="T59" i="1"/>
  <c r="Q58" i="1"/>
  <c r="T58" i="1" s="1"/>
  <c r="Q57" i="1"/>
  <c r="T57" i="1" s="1"/>
  <c r="T55" i="1"/>
  <c r="Q56" i="1"/>
  <c r="T56" i="1" s="1"/>
  <c r="T54" i="1"/>
  <c r="T52" i="1" l="1"/>
  <c r="Q28" i="1" l="1"/>
  <c r="T28" i="1" s="1"/>
  <c r="Q53" i="1"/>
  <c r="T53" i="1" s="1"/>
  <c r="Q51" i="1"/>
  <c r="T51" i="1" s="1"/>
  <c r="T40" i="1"/>
  <c r="T43" i="1"/>
  <c r="T44" i="1"/>
  <c r="T45" i="1"/>
  <c r="T47" i="1"/>
  <c r="T48" i="1"/>
  <c r="T49" i="1"/>
  <c r="Q50" i="1"/>
  <c r="T50" i="1" s="1"/>
  <c r="P46" i="1"/>
  <c r="T46" i="1" s="1"/>
  <c r="Q42" i="1"/>
  <c r="T42" i="1" s="1"/>
  <c r="Q41" i="1"/>
  <c r="T41" i="1" s="1"/>
  <c r="P39" i="1"/>
  <c r="T39" i="1" s="1"/>
  <c r="T27" i="1"/>
  <c r="T29" i="1"/>
  <c r="T30" i="1"/>
  <c r="T31" i="1"/>
  <c r="T32" i="1"/>
  <c r="T33" i="1"/>
  <c r="T35" i="1"/>
  <c r="T37" i="1"/>
  <c r="T38" i="1"/>
  <c r="T26" i="1" l="1"/>
  <c r="T25" i="1"/>
  <c r="V83" i="1" l="1"/>
  <c r="T89" i="1" l="1"/>
  <c r="T23" i="1" l="1"/>
  <c r="T24" i="1"/>
  <c r="T22" i="1"/>
  <c r="T88" i="1"/>
  <c r="T21" i="1"/>
  <c r="T6" i="1"/>
  <c r="T7" i="1" l="1"/>
  <c r="T8" i="1"/>
  <c r="T9" i="1"/>
  <c r="T10" i="1"/>
  <c r="T11" i="1"/>
  <c r="T12" i="1"/>
  <c r="T13" i="1"/>
  <c r="T14" i="1"/>
  <c r="T15" i="1"/>
  <c r="T16" i="1"/>
  <c r="T17" i="1"/>
  <c r="T18" i="1"/>
  <c r="T78" i="1"/>
  <c r="T79" i="1"/>
  <c r="T80" i="1"/>
  <c r="T81" i="1"/>
  <c r="T82" i="1"/>
  <c r="T83" i="1"/>
  <c r="T84" i="1"/>
  <c r="T85" i="1"/>
  <c r="T2" i="1"/>
  <c r="T19" i="1"/>
  <c r="T20" i="1"/>
  <c r="T86" i="1"/>
  <c r="T87" i="1"/>
  <c r="T5" i="1" l="1"/>
  <c r="T4" i="1"/>
  <c r="T77" i="1"/>
  <c r="T3" i="1"/>
  <c r="C7" i="2" l="1"/>
  <c r="C6" i="2"/>
  <c r="C3" i="2"/>
  <c r="C4" i="2"/>
  <c r="W84" i="1"/>
  <c r="D6" i="2" s="1"/>
  <c r="W83" i="1" l="1"/>
  <c r="D3" i="2" s="1"/>
  <c r="W12" i="1" l="1"/>
  <c r="W13" i="1"/>
  <c r="W11" i="1"/>
  <c r="D7" i="2" s="1"/>
  <c r="W9" i="1" l="1"/>
  <c r="W8" i="1"/>
  <c r="D4" i="2" l="1"/>
</calcChain>
</file>

<file path=xl/sharedStrings.xml><?xml version="1.0" encoding="utf-8"?>
<sst xmlns="http://schemas.openxmlformats.org/spreadsheetml/2006/main" count="945" uniqueCount="468">
  <si>
    <t>Affid.</t>
  </si>
  <si>
    <t>CUP</t>
  </si>
  <si>
    <t>CIG</t>
  </si>
  <si>
    <t>n. preventivi richiesti</t>
  </si>
  <si>
    <t>Affidamento</t>
  </si>
  <si>
    <t>Consulente</t>
  </si>
  <si>
    <t>NOTE</t>
  </si>
  <si>
    <t>Ord/prog</t>
  </si>
  <si>
    <t>Z201D2A12</t>
  </si>
  <si>
    <t>no</t>
  </si>
  <si>
    <t>00.01</t>
  </si>
  <si>
    <t>01.01</t>
  </si>
  <si>
    <t xml:space="preserve">Z5D1D2D5E4 </t>
  </si>
  <si>
    <t>Z6B1D34293</t>
  </si>
  <si>
    <t>00.02.2017</t>
  </si>
  <si>
    <t>00.02</t>
  </si>
  <si>
    <t>Indagine di mercato</t>
  </si>
  <si>
    <t>Affidamento diretto</t>
  </si>
  <si>
    <t>si</t>
  </si>
  <si>
    <t>00.03.2017</t>
  </si>
  <si>
    <t>00.03</t>
  </si>
  <si>
    <t>Z901D3E38A</t>
  </si>
  <si>
    <t>Cheno Servizi srl</t>
  </si>
  <si>
    <t>00.04.2017</t>
  </si>
  <si>
    <t>00.04</t>
  </si>
  <si>
    <t>Z071D3E9C1</t>
  </si>
  <si>
    <t>00.05.2017</t>
  </si>
  <si>
    <t>00.05</t>
  </si>
  <si>
    <t>Z591D405BD</t>
  </si>
  <si>
    <t>00.06.2017</t>
  </si>
  <si>
    <t>00.06</t>
  </si>
  <si>
    <t>ZA61D404EC</t>
  </si>
  <si>
    <t>ore usate</t>
  </si>
  <si>
    <t>ore rimanenti</t>
  </si>
  <si>
    <t>ore  totale</t>
  </si>
  <si>
    <t>00.07.2017</t>
  </si>
  <si>
    <t>00.07</t>
  </si>
  <si>
    <t>Z0A1D406FF</t>
  </si>
  <si>
    <t>00.08.2017</t>
  </si>
  <si>
    <t>00.08</t>
  </si>
  <si>
    <t>Z1B1D402C1</t>
  </si>
  <si>
    <t>dichiarazione sostitutiva</t>
  </si>
  <si>
    <t>00.09</t>
  </si>
  <si>
    <t>ZAF1D459B5</t>
  </si>
  <si>
    <t>insussistenza-incarichi</t>
  </si>
  <si>
    <t>00.09.2017</t>
  </si>
  <si>
    <t>00.10.2017</t>
  </si>
  <si>
    <t>ZC01D45D4F</t>
  </si>
  <si>
    <t>Dulcamara Sas</t>
  </si>
  <si>
    <t>-</t>
  </si>
  <si>
    <t>00.10</t>
  </si>
  <si>
    <t>00.11.2017</t>
  </si>
  <si>
    <t>00.11</t>
  </si>
  <si>
    <t>ZDC1D4BE14</t>
  </si>
  <si>
    <t>Groma srl</t>
  </si>
  <si>
    <t>00.12</t>
  </si>
  <si>
    <t>00.12.2017</t>
  </si>
  <si>
    <t>ZD31D4BE98</t>
  </si>
  <si>
    <t>SI</t>
  </si>
  <si>
    <t>00.13.2017</t>
  </si>
  <si>
    <t>00.13</t>
  </si>
  <si>
    <t>Z321D55D2D</t>
  </si>
  <si>
    <t>Teikos Lab srl</t>
  </si>
  <si>
    <t>spese escluse</t>
  </si>
  <si>
    <t>00.14</t>
  </si>
  <si>
    <t>00.14.2017</t>
  </si>
  <si>
    <t>Z421D55D91</t>
  </si>
  <si>
    <t>Ass. Proprietà fondiaria MiLo</t>
  </si>
  <si>
    <t>00.15</t>
  </si>
  <si>
    <t>00.15.2017</t>
  </si>
  <si>
    <t>ZFA1D768BA</t>
  </si>
  <si>
    <t>Arredi 3N dei fr.lli Nespoli</t>
  </si>
  <si>
    <t>01.01.2017</t>
  </si>
  <si>
    <t>01.02.2017</t>
  </si>
  <si>
    <t>01.02</t>
  </si>
  <si>
    <t>ZAE1D55B4D</t>
  </si>
  <si>
    <t>01.03.2017</t>
  </si>
  <si>
    <t>01.03</t>
  </si>
  <si>
    <t>Z501D55B75</t>
  </si>
  <si>
    <t>01.04.207</t>
  </si>
  <si>
    <t>01.04</t>
  </si>
  <si>
    <t>Z471D4BC28</t>
  </si>
  <si>
    <t>K2real</t>
  </si>
  <si>
    <t>spese comprese</t>
  </si>
  <si>
    <t>01.05.2017</t>
  </si>
  <si>
    <t>01.05</t>
  </si>
  <si>
    <t>Z4B1D62BEE</t>
  </si>
  <si>
    <t>01.06.2017</t>
  </si>
  <si>
    <t>01.06</t>
  </si>
  <si>
    <t>ZDF1D6065D</t>
  </si>
  <si>
    <t>01.07.2017</t>
  </si>
  <si>
    <t>01.07</t>
  </si>
  <si>
    <t>ZAA1D766C6</t>
  </si>
  <si>
    <t>01.08.2017</t>
  </si>
  <si>
    <t>01.08</t>
  </si>
  <si>
    <t>Z5A1D767C3</t>
  </si>
  <si>
    <t>01.09.2017</t>
  </si>
  <si>
    <t>ZBF1DB070E</t>
  </si>
  <si>
    <t>00.17.2017</t>
  </si>
  <si>
    <t>Z861CD61F8</t>
  </si>
  <si>
    <t>consip</t>
  </si>
  <si>
    <t>00.18.2017</t>
  </si>
  <si>
    <t>ZA11DF0C4E</t>
  </si>
  <si>
    <t>Z451DF5D66</t>
  </si>
  <si>
    <t>01.09</t>
  </si>
  <si>
    <t>00.17</t>
  </si>
  <si>
    <t>00.18</t>
  </si>
  <si>
    <t>The Beaumont Group</t>
  </si>
  <si>
    <t>30 ore di regolamento</t>
  </si>
  <si>
    <t>cardani</t>
  </si>
  <si>
    <t>IRCSS</t>
  </si>
  <si>
    <t>FSCG</t>
  </si>
  <si>
    <t>Renna</t>
  </si>
  <si>
    <t>Mantovani</t>
  </si>
  <si>
    <t>note</t>
  </si>
  <si>
    <t>00.20</t>
  </si>
  <si>
    <t>01.10.2017</t>
  </si>
  <si>
    <t>Z461DED853</t>
  </si>
  <si>
    <t>01.10</t>
  </si>
  <si>
    <t>01.11.2017</t>
  </si>
  <si>
    <t>01.11</t>
  </si>
  <si>
    <t>Z731E2F8A7</t>
  </si>
  <si>
    <t xml:space="preserve"> </t>
  </si>
  <si>
    <t>iva</t>
  </si>
  <si>
    <t>totale</t>
  </si>
  <si>
    <t>00.19.2017</t>
  </si>
  <si>
    <t>Z231E5E6B8</t>
  </si>
  <si>
    <t>ZB11E5E6C1</t>
  </si>
  <si>
    <t>00.20.2017</t>
  </si>
  <si>
    <t>ZB51E6354A</t>
  </si>
  <si>
    <t>Z7A1E67AB0</t>
  </si>
  <si>
    <t>ZF81E6399F</t>
  </si>
  <si>
    <t>01.12</t>
  </si>
  <si>
    <t>00.23</t>
  </si>
  <si>
    <t>00.24</t>
  </si>
  <si>
    <t>00.21.2017</t>
  </si>
  <si>
    <t>00.25</t>
  </si>
  <si>
    <t>00.26</t>
  </si>
  <si>
    <t>Z271E8350F</t>
  </si>
  <si>
    <t>00.22.2017</t>
  </si>
  <si>
    <t>01.12.2017</t>
  </si>
  <si>
    <t>01.13.2017</t>
  </si>
  <si>
    <t>ZC61E6CDEC</t>
  </si>
  <si>
    <t>Altene Ing ass</t>
  </si>
  <si>
    <t>Z751E87F07</t>
  </si>
  <si>
    <t>Servizio di controllo Sogei ed invio della comunicazione IVA</t>
  </si>
  <si>
    <t>CPA</t>
  </si>
  <si>
    <t>00.27</t>
  </si>
  <si>
    <t>00.23.2017</t>
  </si>
  <si>
    <t>00.28</t>
  </si>
  <si>
    <t>00.24.2017</t>
  </si>
  <si>
    <t>00.29</t>
  </si>
  <si>
    <t>Z081E9C494</t>
  </si>
  <si>
    <t>Euroservis srl</t>
  </si>
  <si>
    <t>00.25.2017</t>
  </si>
  <si>
    <t>00.30</t>
  </si>
  <si>
    <t>ZB01EA4C10</t>
  </si>
  <si>
    <t>Sia srl</t>
  </si>
  <si>
    <t>ZD91F31295</t>
  </si>
  <si>
    <t>Fornace Curti</t>
  </si>
  <si>
    <t>Erika Francia</t>
  </si>
  <si>
    <t>Z571F3EF72</t>
  </si>
  <si>
    <t>Marina Sambusiti</t>
  </si>
  <si>
    <t>Luca Fois</t>
  </si>
  <si>
    <t>Z221F4619A</t>
  </si>
  <si>
    <t>Gemini srl, Vita verde, Coop. Beatrice Guasco, Gemini srl, Imberti Carlo s.n.c., Coop. Beatrice Guasco</t>
  </si>
  <si>
    <t>Z691F51F57</t>
  </si>
  <si>
    <t>Studio tecnico Trotta Michele</t>
  </si>
  <si>
    <t>Incarico professionale per la figura di CSP e CSE, ai fini della sicurezza nei cantieri temporanei o mobili ex art. 90 del D.lgs. 81/2008</t>
  </si>
  <si>
    <t>Lavori di rimozione smaltimento e sostituzione coperture in fibrocemento contenenti amianto relative al sito Cascina Cusico a Zibido San Giacomo (Mi)</t>
  </si>
  <si>
    <t>Z881F6DA0B</t>
  </si>
  <si>
    <t>D61E17000230005</t>
  </si>
  <si>
    <t xml:space="preserve">Quadrifoglio Srl </t>
  </si>
  <si>
    <t>ZC01F61751</t>
  </si>
  <si>
    <t>Z7D1F331AC</t>
  </si>
  <si>
    <t>Misure a tutela dei dati personali ai sensi del Dl.gls.196/2003 e s.m.i nonché del regolamento U.E. 2016/679</t>
  </si>
  <si>
    <t>Creazione della piattaforma web - Progetto Archivio vivo</t>
  </si>
  <si>
    <t>Z701F4C510</t>
  </si>
  <si>
    <t>Incarico triennale di Organismo di vigilanza monocratico</t>
  </si>
  <si>
    <t>ZCC1F7D3C3</t>
  </si>
  <si>
    <t>Imberti Carlo s.n.c.</t>
  </si>
  <si>
    <t>ZA51FC1360</t>
  </si>
  <si>
    <t>Amaris snc</t>
  </si>
  <si>
    <t>Avv. Scarpelli</t>
  </si>
  <si>
    <t>ZF21FDC7D9</t>
  </si>
  <si>
    <t>Demolizione dell’edificio denominato Cascina Tortorino</t>
  </si>
  <si>
    <t>Z381F7382D</t>
  </si>
  <si>
    <t>D85I17000020005</t>
  </si>
  <si>
    <t>Seprio s.r.l.</t>
  </si>
  <si>
    <t>Z691FF6109</t>
  </si>
  <si>
    <t xml:space="preserve">Eos Consulting </t>
  </si>
  <si>
    <t>Somministrazione n. 1 test di Hogan</t>
  </si>
  <si>
    <t>Dulcamara sas</t>
  </si>
  <si>
    <t>Z931FD8BED</t>
  </si>
  <si>
    <t>Itineraria sas</t>
  </si>
  <si>
    <t>ZE1201A380</t>
  </si>
  <si>
    <t>esente</t>
  </si>
  <si>
    <t>Z041FF538A</t>
  </si>
  <si>
    <t>Dott.ssa Ilaria Nascimbene</t>
  </si>
  <si>
    <t>Z1F201F19D</t>
  </si>
  <si>
    <t>Studio legale Lecis Cannella Grassi</t>
  </si>
  <si>
    <t>Certificazione della Via Francisca del Lucomagno</t>
  </si>
  <si>
    <t>n.a.</t>
  </si>
  <si>
    <t>data DAC</t>
  </si>
  <si>
    <t>Arredi 3N; Ufficio Discount</t>
  </si>
  <si>
    <t>Teikos Lab srl; Aegis Human Consulting group; Protiviti</t>
  </si>
  <si>
    <t>Reinventi srl; Groma srl; Abaco srl; Arcotecnica srl</t>
  </si>
  <si>
    <t>Sia srl; Sistema SpA; Zucchetti</t>
  </si>
  <si>
    <t>00.26.2017</t>
  </si>
  <si>
    <t>Studio Zazzeron, Cameretti &amp; Associati</t>
  </si>
  <si>
    <t>00.27.2017</t>
  </si>
  <si>
    <t>ZB01ECEAB4</t>
  </si>
  <si>
    <t>Giambrocono &amp; C. SpA</t>
  </si>
  <si>
    <t>Servizio di deposito del marchio "Latte Ca' Granda"</t>
  </si>
  <si>
    <t>00.28.2017</t>
  </si>
  <si>
    <t>ZAC1ECEA9B</t>
  </si>
  <si>
    <t>Studio legale associato Parini, Andreolini, Cupido</t>
  </si>
  <si>
    <t>00.29.2017</t>
  </si>
  <si>
    <t>ZB91F01FD2</t>
  </si>
  <si>
    <t>Verifica della congriutà del canone di affitto el Consorzio del Parco Bughiera</t>
  </si>
  <si>
    <t>Dott. Agr. Mario Paganini</t>
  </si>
  <si>
    <t>00.30.2017</t>
  </si>
  <si>
    <t>Servizio di aggiornamento continuativo sulle opportunità correnti per i finanziamenti e le agevolazioni della durata di 24 mesi</t>
  </si>
  <si>
    <t>ZA61F203F4</t>
  </si>
  <si>
    <t>00.31.2017</t>
  </si>
  <si>
    <t>00.32.2017</t>
  </si>
  <si>
    <t>D47G16000010007</t>
  </si>
  <si>
    <t>00.33.2017</t>
  </si>
  <si>
    <t>00.34.2017</t>
  </si>
  <si>
    <t>00.35.2017</t>
  </si>
  <si>
    <t>Vitaverde snc; Word green; Gemini; Globo dimensione verde; Coop. Beatrice Guasco; Imberti Carlo snc;</t>
  </si>
  <si>
    <t>00.36.2017</t>
  </si>
  <si>
    <t>Arch. Matteo Marchionni; Studio tecnico Trotta Michele; Arch. Simonetta Ruggiero; Arch. Stefano Castronovo; Mimoa</t>
  </si>
  <si>
    <t>00.37.2017</t>
  </si>
  <si>
    <t>Quadrifoglio srl; Ti&amp;A SpA; EsseA3 srl</t>
  </si>
  <si>
    <t>Promemoria srl</t>
  </si>
  <si>
    <t>00.38.2017</t>
  </si>
  <si>
    <t>00.39.2017</t>
  </si>
  <si>
    <t>00.40.2017</t>
  </si>
  <si>
    <t>Imberti Carlo snc, Gemini srl, Coop. Sociale Guasco</t>
  </si>
  <si>
    <t>00.41.2017</t>
  </si>
  <si>
    <t>00.42.2017</t>
  </si>
  <si>
    <t>00.43.2017</t>
  </si>
  <si>
    <t>00.44.2017</t>
  </si>
  <si>
    <t>Ars aedificandi spa; Seprio srl; Archedil srl</t>
  </si>
  <si>
    <t>00.45.2017</t>
  </si>
  <si>
    <t>00.46.2017</t>
  </si>
  <si>
    <t>00.47.2017</t>
  </si>
  <si>
    <t>00.48.2017</t>
  </si>
  <si>
    <t>00.49.2017</t>
  </si>
  <si>
    <t>D81E17000480005</t>
  </si>
  <si>
    <t>7216989FB6</t>
  </si>
  <si>
    <t>00.50.2017</t>
  </si>
  <si>
    <t>00.51/2017</t>
  </si>
  <si>
    <t>00.52/2017</t>
  </si>
  <si>
    <t>ZC6202C93A</t>
  </si>
  <si>
    <t>00.53/2017</t>
  </si>
  <si>
    <t>Dronext</t>
  </si>
  <si>
    <t>00.54/2017</t>
  </si>
  <si>
    <t>ZF62043D04</t>
  </si>
  <si>
    <t>ZEE2043DCD</t>
  </si>
  <si>
    <t>00.62</t>
  </si>
  <si>
    <t>inps</t>
  </si>
  <si>
    <t>Predisposizione del progetto preliminare bando Infrastrutture verdi a rilevanza ecologica e di incremento della naturalità"</t>
  </si>
  <si>
    <t>00.55/2017</t>
  </si>
  <si>
    <t>Z5E207952D</t>
  </si>
  <si>
    <t>ZB2189446D</t>
  </si>
  <si>
    <t>00.56/2017</t>
  </si>
  <si>
    <t>Z9D20889A0</t>
  </si>
  <si>
    <t>00.57/2017</t>
  </si>
  <si>
    <t>Z242083AEE</t>
  </si>
  <si>
    <t>00.58/2017</t>
  </si>
  <si>
    <t>Z9320B5793</t>
  </si>
  <si>
    <t>00.59/2017</t>
  </si>
  <si>
    <t>Z372089750</t>
  </si>
  <si>
    <t>00.60/2017</t>
  </si>
  <si>
    <t>Z3F20AB8A6</t>
  </si>
  <si>
    <t xml:space="preserve">Unigreen; Garden snc; Alla rotonda srl; Vita verde </t>
  </si>
  <si>
    <t xml:space="preserve">Unigreen </t>
  </si>
  <si>
    <t>00.61/2017</t>
  </si>
  <si>
    <t>Z9B20D53A7</t>
  </si>
  <si>
    <t>Incarico di coordinatore della sicurezza in fase di progettazione e coordinatore della sicurezza in fase di esecuzione per i lavoratori</t>
  </si>
  <si>
    <t>00.62/2017</t>
  </si>
  <si>
    <t>ZDB20E8238</t>
  </si>
  <si>
    <t>00.63/2017</t>
  </si>
  <si>
    <t>Prof.ssa Vaglienti</t>
  </si>
  <si>
    <t>00.64/2017</t>
  </si>
  <si>
    <t>00.65/2017</t>
  </si>
  <si>
    <t>ZAE20DF4AB</t>
  </si>
  <si>
    <t xml:space="preserve">Scs Consulting </t>
  </si>
  <si>
    <t>Servizio di consulenza per la realizzazione del Bilancio di sostenibilità 2017-2018-2019</t>
  </si>
  <si>
    <t>00.66/2017</t>
  </si>
  <si>
    <t>ZD12126B86</t>
  </si>
  <si>
    <t>indagine di mercato</t>
  </si>
  <si>
    <t>Nasca srl - Divisione Poang</t>
  </si>
  <si>
    <t>00.67/2017</t>
  </si>
  <si>
    <t>ZCD20FBA28</t>
  </si>
  <si>
    <t>Servizio di assistenza in diritto del lavoro</t>
  </si>
  <si>
    <t>00.68/2017</t>
  </si>
  <si>
    <t>ZF020C3B99</t>
  </si>
  <si>
    <t>Servizio di ispezione tramite SAPR di n 121 fabbricati</t>
  </si>
  <si>
    <t>Z9E20C3C0C</t>
  </si>
  <si>
    <t>Geom. Restelli</t>
  </si>
  <si>
    <t>00.69/2017</t>
  </si>
  <si>
    <t>Z4120E9871</t>
  </si>
  <si>
    <t>00.70/2017</t>
  </si>
  <si>
    <t>Z162143CD9</t>
  </si>
  <si>
    <t>00.71/2017</t>
  </si>
  <si>
    <t>Z301B78DA6</t>
  </si>
  <si>
    <t>Studio Bettaglio</t>
  </si>
  <si>
    <t>Servizio di assistenza per la transazione causa Zappa</t>
  </si>
  <si>
    <t>00.72/2017</t>
  </si>
  <si>
    <t>ZAB208DFC2</t>
  </si>
  <si>
    <t>Idea real Estate Spa</t>
  </si>
  <si>
    <t>00.31</t>
  </si>
  <si>
    <t>00.32</t>
  </si>
  <si>
    <t>00.34</t>
  </si>
  <si>
    <t>00.38</t>
  </si>
  <si>
    <t>00.37</t>
  </si>
  <si>
    <t>00.39</t>
  </si>
  <si>
    <t>00.41-0042-00.43-00.44-01.19-01.20-01.21-01.21-01.22</t>
  </si>
  <si>
    <t>01.16</t>
  </si>
  <si>
    <t>01.23</t>
  </si>
  <si>
    <t>01.24</t>
  </si>
  <si>
    <t>00.53</t>
  </si>
  <si>
    <t>00.54</t>
  </si>
  <si>
    <t>00.55</t>
  </si>
  <si>
    <t>00.56</t>
  </si>
  <si>
    <t>00.57</t>
  </si>
  <si>
    <t>00.58</t>
  </si>
  <si>
    <t>00.72</t>
  </si>
  <si>
    <t>00.58 bis</t>
  </si>
  <si>
    <t>00.59</t>
  </si>
  <si>
    <t>00.60</t>
  </si>
  <si>
    <t>01.25</t>
  </si>
  <si>
    <t>00.61</t>
  </si>
  <si>
    <t>01.26</t>
  </si>
  <si>
    <t>01.27</t>
  </si>
  <si>
    <t>01.28</t>
  </si>
  <si>
    <t>00.64</t>
  </si>
  <si>
    <t>01.29</t>
  </si>
  <si>
    <t>00.65</t>
  </si>
  <si>
    <t>01.30</t>
  </si>
  <si>
    <t>00.66</t>
  </si>
  <si>
    <t>00.67</t>
  </si>
  <si>
    <t>00.68</t>
  </si>
  <si>
    <t>00.69</t>
  </si>
  <si>
    <t>00.70</t>
  </si>
  <si>
    <t>00.71</t>
  </si>
  <si>
    <t>Incarico professionale di redazione del PSC e figura di CSP e CSE, ai fini della sicurezza nei cantieri temporanei o mobili ex art. 90 del D.lgs. 81/2008</t>
  </si>
  <si>
    <t>Servizio di accatastamento fabbricati</t>
  </si>
  <si>
    <t>Servizio di manutenzione del verde nei terreni sfitti</t>
  </si>
  <si>
    <t>Fornitura di n. 3 classificatori e di n. 200 cartelline sospese</t>
  </si>
  <si>
    <t>Servizio di consulenza e assistenza Dlg 81/80 Medico competente</t>
  </si>
  <si>
    <t>Assistenza annuale in diritto immobiliare e societario</t>
  </si>
  <si>
    <t>Assistenza annuale in diritto agrario</t>
  </si>
  <si>
    <t>Assistenza annuale in diritto amministrativo</t>
  </si>
  <si>
    <t>Servizio annuale ad ore di assistenza informatica</t>
  </si>
  <si>
    <t>Servizio annuale gestione fiscale immobiliare</t>
  </si>
  <si>
    <t>Fornitura e assistenza software immobiliare</t>
  </si>
  <si>
    <t>Fornitura di mobili da ufficio - n. 3 workstation</t>
  </si>
  <si>
    <t>Servizio di assistenza all'attività di selezione di n. 1 unità personale</t>
  </si>
  <si>
    <t>Fornitura di n. 2 classificatori</t>
  </si>
  <si>
    <t>Servizio di gestione amministrativa immobiliare</t>
  </si>
  <si>
    <t>Corso di formazione obbligatoria ex 81/08 (base e specifica) per 2 lavoratori</t>
  </si>
  <si>
    <t>Esami strumentali alle visite mediche obbligatore ex 81/08</t>
  </si>
  <si>
    <t>Fornitura di arredi per n 2 workstation e e sala runioni</t>
  </si>
  <si>
    <t>Fornitura e assistenza annuale Alyante - software gestione della contabilità</t>
  </si>
  <si>
    <t>Servizio di studio personalizato finalizzato alla ricerca delle agevolazioni comunitarie/nazionali /regionali/ per l'individuazione delle forme di contribuzioni</t>
  </si>
  <si>
    <t>Fornitura e realizzazione degli stemmi per le cascine di proprietà dell’Ospedale (prototipo modellato a mano, primo campione e realizzazione di n. 70 stemmi in maiolica)</t>
  </si>
  <si>
    <t>Manutenzione del verde (taglio di arbusti, cespugli e manto erboso) terreni sfitti in Comune di Milano</t>
  </si>
  <si>
    <t>Campagna social media marketing "Latte Ca' Granda"</t>
  </si>
  <si>
    <t>Assistenza redazione regolamento di selezione del personale</t>
  </si>
  <si>
    <t>00.44</t>
  </si>
  <si>
    <t>Estensione servizio di assistenza grafica</t>
  </si>
  <si>
    <t>Progettazione, coordinamento e rendicontazione del bando Regione Lombardia “Avviso pubblico per la valorizzazione turistico-culturale della Lombardia”;</t>
  </si>
  <si>
    <t>Procedura negoziata su invito</t>
  </si>
  <si>
    <t xml:space="preserve">Corso di formazione sui contenuti del "Modello di organizzazione, gestione e controllo ai sensi del D. Lgs. 231/2001" e della normativa anticorruzione </t>
  </si>
  <si>
    <t>Lavori relativi alla rimozione, smaltimento e sostituzione di coperture in fibrocemento contenenti amianto</t>
  </si>
  <si>
    <t>Messa in sicurezza di 15 abitazioni sfitte a Fallavecchia e Cascina Basiano</t>
  </si>
  <si>
    <t>Servizio di assistenza al Responsabile Unico del Procedimento - adeguamento impianti</t>
  </si>
  <si>
    <t>Ispezione tramite dispositivi SAPR coperture fabbricati a destinazione non rurale</t>
  </si>
  <si>
    <t>Ispezione tramite dispositivi SAPR coperture fabbricati a destinazione non rurale - Relazione tecnica</t>
  </si>
  <si>
    <t>Dronext/Restelli;St verrua ; St tedoldi; Udrone; OSDrone</t>
  </si>
  <si>
    <t>Studio agroforestale Terraviva</t>
  </si>
  <si>
    <t>Servizio di fornitura mobilio per n. 2 postazioni di lavoro</t>
  </si>
  <si>
    <t>Servizio di progettazione, Direzione lavori, collaudi e redazione APE</t>
  </si>
  <si>
    <t>Servizio di sopralluogo e rilievo delle problematiche sui tratti urbani della Roggia Bertonica</t>
  </si>
  <si>
    <t>Servizio di sfalcio verde e conferimento in discarica presso i terreni siti in Tremezzo (Co)</t>
  </si>
  <si>
    <t>Esami strumentali alle visite mediche obbligatore ex 81/08 - n. 2 neoassunti</t>
  </si>
  <si>
    <t>Riordino e inventario della documentazione della sezione patrimonio Attivo dell'Archivio Storico della Fondazione IRCSS Ca' Granda dal 01.07.2017 al 31.12.2018</t>
  </si>
  <si>
    <t>Riordino e inventario della documentazione della sezione patrimonio Attivo dell'Archivio Storico della Fondazione IRCSS Ca' Granda 01.07.2017 al 31.12.2018</t>
  </si>
  <si>
    <t>Analisi storica della documentazione custodita presso la sezione patrimonio Attivo dell'Archivio Storico della Fondazione IRCSS Ca’ Granda 01.07.2017 al 31.12.2018</t>
  </si>
  <si>
    <t>Incarico di supervisione storica della documentazione della sezione patrimonio Attivo dell'Archivio Storico della Fondazione IRCSS Ca' Granda dal 01.12.2017 al 31.12.2018</t>
  </si>
  <si>
    <t>Estensione servizio di assistenza informatica</t>
  </si>
  <si>
    <t>Fornitura di n 8 pc, monitor, tastiere e mouse</t>
  </si>
  <si>
    <t>Relazione tecnica degli esiti delle singole ispezioni tramite SAPR di n 121 fabbricati</t>
  </si>
  <si>
    <t>Corso di aggiornamento della formazione del Rappresentante dei Lavoratori per la Sicurezza</t>
  </si>
  <si>
    <t>Fornitura n. 2 workstation e n. 2 classificatori</t>
  </si>
  <si>
    <t>Novaspurghi s.a.s., Lombardaspurghi</t>
  </si>
  <si>
    <t>00.0172017</t>
  </si>
  <si>
    <t>Novaspurghi s.a.s., La Nuova Spurpoz srl</t>
  </si>
  <si>
    <t>Intervento spurgo presso Cascina Bugo</t>
  </si>
  <si>
    <t>K2Real; CBRE Vaultation</t>
  </si>
  <si>
    <t>Analisi di stima del valore del Podere Cascina Impellecchio</t>
  </si>
  <si>
    <t>Servizio di apposizione visto di conformità per compensazione crediti IVA</t>
  </si>
  <si>
    <t>Servizio di spugo presso fraz. Caselle Morimondo</t>
  </si>
  <si>
    <t>Marchionni, Franchi, Ruggiero, Brena</t>
  </si>
  <si>
    <t>Nova Spurghi, EDR Service srl, La Milano Spurghi Ecologica srl, La nuova Spurpoz srl, La Magentina Spurghi snc, Ambrosiana spurghi SpA</t>
  </si>
  <si>
    <t>Novaspurghi sas</t>
  </si>
  <si>
    <t xml:space="preserve">Spurghi presso Cascina Basiano </t>
  </si>
  <si>
    <t>Lombarda Spurghi srl</t>
  </si>
  <si>
    <t>01.14.2017</t>
  </si>
  <si>
    <t>Z5F1E880F1</t>
  </si>
  <si>
    <t>Studio legale Cardani</t>
  </si>
  <si>
    <t>Estensione assistenza in diritto immobiliare e societario - 2017</t>
  </si>
  <si>
    <t>01.15.2017</t>
  </si>
  <si>
    <t>ZE81F4D9A4</t>
  </si>
  <si>
    <t>Nova Spurghi sas; Lombarda spurghi srò</t>
  </si>
  <si>
    <t>Servizio di spurgo presso Cascina Coronate</t>
  </si>
  <si>
    <t>Innoa</t>
  </si>
  <si>
    <t>Fornitura annuale cancelleria</t>
  </si>
  <si>
    <t>Aggiudicatario</t>
  </si>
  <si>
    <t>Struttura proponente</t>
  </si>
  <si>
    <t>Oggetto</t>
  </si>
  <si>
    <t>Procedura di scelta del contraente</t>
  </si>
  <si>
    <t>Elenco degli operatori invitati a presentare offerte</t>
  </si>
  <si>
    <t>Importo di aggiudicazione IVA esclusa</t>
  </si>
  <si>
    <t>Tempi di completameno dell'opera</t>
  </si>
  <si>
    <t>Importo delle somme liquidate</t>
  </si>
  <si>
    <t>Servizio annuale gestione fiscale immobiliare - immobili IRCCS</t>
  </si>
  <si>
    <t>Fornitura e assistenza software immobiliare - immobili IRCCS</t>
  </si>
  <si>
    <t>Servizio di gestione amministrativa immobiliare - immobili IRCCS</t>
  </si>
  <si>
    <t>Property management</t>
  </si>
  <si>
    <t>Servizio di assistenza in diritto amministrativo anno 2017  - quota IRCCS</t>
  </si>
  <si>
    <t>Geom. Saccomanni</t>
  </si>
  <si>
    <t>Geom. Beltrami</t>
  </si>
  <si>
    <t>Ing. Zanetti</t>
  </si>
  <si>
    <t>Studio Legale Mantovani</t>
  </si>
  <si>
    <t>Studio legale Renna</t>
  </si>
  <si>
    <t>Avv. Cannella</t>
  </si>
  <si>
    <t>Studio legale Nicolini Cantù</t>
  </si>
  <si>
    <t>Arch. Marchionni</t>
  </si>
  <si>
    <t>Archedil di Manlio Zingales</t>
  </si>
  <si>
    <t>Servizi generali</t>
  </si>
  <si>
    <t>Direzione Generale</t>
  </si>
  <si>
    <t>Rilievo e studio idraulico delle Roggia Bertonica in località Turano Lodigiano</t>
  </si>
  <si>
    <t>Project management</t>
  </si>
  <si>
    <t>Servizio di elaborazione DVR</t>
  </si>
  <si>
    <t>Economico-finanziario</t>
  </si>
  <si>
    <t>Servizio di spurgo presso Cascina Montalbano</t>
  </si>
  <si>
    <t>Progetti rurali</t>
  </si>
  <si>
    <t>1 mese</t>
  </si>
  <si>
    <t>3 mesi</t>
  </si>
  <si>
    <t>Studio Corona</t>
  </si>
  <si>
    <t>Servizio di assistenza in diritto acque anno 2017  - immobili IRCCS</t>
  </si>
  <si>
    <t>servizio di assistenza in diritto immobiliaree  e societario anno 2017  - immobili IRCCS</t>
  </si>
  <si>
    <t>Licenza ESRI-ARCGIS e hosting annuale Geoportale</t>
  </si>
  <si>
    <t>Globo srl Soluzioni avanzate per il territorio</t>
  </si>
  <si>
    <t>Assistenza annuale in diritto delle acque</t>
  </si>
  <si>
    <t>Servizio annuale RSPP</t>
  </si>
  <si>
    <t>Servizio annuale ad ore di assistenza grafica</t>
  </si>
  <si>
    <t>Assistenza in progetto di sviluppo organizzativo</t>
  </si>
  <si>
    <t>Quota associativa Proprietà Fondiaria</t>
  </si>
  <si>
    <t>Redazione del contratto di licenza "Latte Ca' Granda"</t>
  </si>
  <si>
    <t>Consiglio di Amministrazione</t>
  </si>
  <si>
    <t>Progettazione e supervisione dell’attività di regolarizzazione catastale e urbanistica delle difformità dei fabbricati di proprietà di Fondazione IRCCS Ca’ Granda dal 1/10/2017 al 30/09/2018</t>
  </si>
  <si>
    <t>Licenza software Ref-Building per 24 mesi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</si>
</sst>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€&quot;\ * #,##0.00_-;\-&quot;€&quot;\ * #,##0.00_-;_-&quot;€&quot;\ * &quot;-&quot;??_-;_-@_-"/>
    <numFmt numFmtId="164" formatCode="dd/mm/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Garamond"/>
      <family val="1"/>
    </font>
    <font>
      <b/>
      <sz val="12"/>
      <color theme="1"/>
      <name val="Garamond"/>
      <family val="1"/>
    </font>
    <font>
      <sz val="12"/>
      <color theme="1"/>
      <name val="Garamond"/>
      <family val="1"/>
    </font>
    <font>
      <sz val="12"/>
      <name val="Garamond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/>
    <xf numFmtId="2" fontId="3" fillId="0" borderId="0" xfId="0" applyNumberFormat="1" applyFont="1" applyAlignment="1">
      <alignment horizontal="center"/>
    </xf>
    <xf numFmtId="0" fontId="0" fillId="0" borderId="1" xfId="0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44" fontId="0" fillId="0" borderId="1" xfId="1" applyFont="1" applyFill="1" applyBorder="1" applyAlignment="1">
      <alignment vertical="center"/>
    </xf>
    <xf numFmtId="9" fontId="0" fillId="0" borderId="1" xfId="1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2" fontId="0" fillId="0" borderId="1" xfId="1" applyNumberFormat="1" applyFont="1" applyFill="1" applyBorder="1" applyAlignment="1">
      <alignment vertical="center"/>
    </xf>
    <xf numFmtId="2" fontId="0" fillId="0" borderId="1" xfId="1" applyNumberFormat="1" applyFont="1" applyFill="1" applyBorder="1" applyAlignment="1">
      <alignment horizontal="center" vertical="center"/>
    </xf>
    <xf numFmtId="44" fontId="0" fillId="0" borderId="0" xfId="1" applyFont="1" applyFill="1" applyAlignment="1">
      <alignment vertical="center"/>
    </xf>
    <xf numFmtId="1" fontId="0" fillId="0" borderId="0" xfId="0" applyNumberFormat="1" applyFill="1" applyAlignment="1">
      <alignment vertical="center"/>
    </xf>
    <xf numFmtId="164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44" fontId="0" fillId="0" borderId="0" xfId="1" applyFont="1" applyFill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1" fontId="5" fillId="0" borderId="1" xfId="0" applyNumberFormat="1" applyFont="1" applyFill="1" applyBorder="1" applyAlignment="1">
      <alignment vertical="center"/>
    </xf>
    <xf numFmtId="164" fontId="5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44" fontId="5" fillId="0" borderId="1" xfId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14" fontId="5" fillId="0" borderId="1" xfId="0" applyNumberFormat="1" applyFont="1" applyFill="1" applyBorder="1" applyAlignment="1">
      <alignment vertical="center"/>
    </xf>
    <xf numFmtId="1" fontId="5" fillId="0" borderId="1" xfId="0" applyNumberFormat="1" applyFont="1" applyFill="1" applyBorder="1" applyAlignment="1">
      <alignment vertical="center" wrapText="1"/>
    </xf>
    <xf numFmtId="0" fontId="5" fillId="0" borderId="1" xfId="0" quotePrefix="1" applyFont="1" applyFill="1" applyBorder="1" applyAlignment="1">
      <alignment horizontal="center" vertical="center" wrapText="1"/>
    </xf>
    <xf numFmtId="0" fontId="5" fillId="0" borderId="1" xfId="0" quotePrefix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vertical="center" wrapText="1"/>
    </xf>
    <xf numFmtId="164" fontId="4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44" fontId="4" fillId="0" borderId="1" xfId="1" applyFont="1" applyFill="1" applyBorder="1" applyAlignment="1">
      <alignment horizontal="center" vertical="center" wrapText="1"/>
    </xf>
    <xf numFmtId="44" fontId="2" fillId="0" borderId="1" xfId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martcig.anticorruzione.it/AVCP-SmartCig/preparaDettaglioComunicazioneOS.action?codDettaglioCarnet=33832267" TargetMode="External"/><Relationship Id="rId13" Type="http://schemas.openxmlformats.org/officeDocument/2006/relationships/hyperlink" Target="https://smartcig.anticorruzione.it/AVCP-SmartCig/preparaDettaglioComunicazioneOS.action?codDettaglioCarnet=34297617" TargetMode="External"/><Relationship Id="rId3" Type="http://schemas.openxmlformats.org/officeDocument/2006/relationships/hyperlink" Target="https://smartcig.anticorruzione.it/AVCP-SmartCig/preparaDettaglioComunicazioneOS.action?codDettaglioCarnet=30672629" TargetMode="External"/><Relationship Id="rId7" Type="http://schemas.openxmlformats.org/officeDocument/2006/relationships/hyperlink" Target="https://smartcig.anticorruzione.it/AVCP-SmartCig/preparaDettaglioComunicazioneOS.action?codDettaglioCarnet=33832066" TargetMode="External"/><Relationship Id="rId12" Type="http://schemas.openxmlformats.org/officeDocument/2006/relationships/hyperlink" Target="https://smartcig.anticorruzione.it/AVCP-SmartCig/preparaDettaglioComunicazioneOS.action?codDettaglioCarnet=34093676" TargetMode="External"/><Relationship Id="rId2" Type="http://schemas.openxmlformats.org/officeDocument/2006/relationships/hyperlink" Target="https://smartcig.anticorruzione.it/AVCP-SmartCig/preparaDettaglioComunicazioneOS.action?codDettaglioCarnet=30672307" TargetMode="External"/><Relationship Id="rId1" Type="http://schemas.openxmlformats.org/officeDocument/2006/relationships/hyperlink" Target="https://smartcig.anticorruzione.it/AVCP-SmartCig/preparaDettaglioComunicazioneOS.action?codDettaglioCarnet=30665143" TargetMode="External"/><Relationship Id="rId6" Type="http://schemas.openxmlformats.org/officeDocument/2006/relationships/hyperlink" Target="https://smartcig.anticorruzione.it/AVCP-SmartCig/preparaDettaglioComunicazioneOS.action?codDettaglioCarnet=31865117" TargetMode="External"/><Relationship Id="rId11" Type="http://schemas.openxmlformats.org/officeDocument/2006/relationships/hyperlink" Target="https://smartcig.anticorruzione.it/AVCP-SmartCig/preparaDettaglioComunicazioneOS.action?codDettaglioCarnet=34113822" TargetMode="External"/><Relationship Id="rId5" Type="http://schemas.openxmlformats.org/officeDocument/2006/relationships/hyperlink" Target="https://smartcig.anticorruzione.it/AVCP-SmartCig/preparaDettaglioComunicazioneOS.action?codDettaglioCarnet=31881774" TargetMode="External"/><Relationship Id="rId10" Type="http://schemas.openxmlformats.org/officeDocument/2006/relationships/hyperlink" Target="https://smartcig.anticorruzione.it/AVCP-SmartCig/preparaDettaglioComunicazioneOS.action?codDettaglioCarnet=25773155" TargetMode="External"/><Relationship Id="rId4" Type="http://schemas.openxmlformats.org/officeDocument/2006/relationships/hyperlink" Target="https://smartcig.anticorruzione.it/AVCP-SmartCig/preparaDettaglioComunicazioneOS.action?codDettaglioCarnet=31843894" TargetMode="External"/><Relationship Id="rId9" Type="http://schemas.openxmlformats.org/officeDocument/2006/relationships/hyperlink" Target="https://smartcig.anticorruzione.it/AVCP-SmartCig/preparaDettaglioComunicazioneOS.action?codDettaglioCarnet=34051243" TargetMode="External"/><Relationship Id="rId1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1"/>
  <sheetViews>
    <sheetView tabSelected="1" topLeftCell="H1" zoomScale="85" zoomScaleNormal="85" workbookViewId="0">
      <pane ySplit="1" topLeftCell="A2" activePane="bottomLeft" state="frozen"/>
      <selection pane="bottomLeft" activeCell="AA37" sqref="AA37"/>
    </sheetView>
  </sheetViews>
  <sheetFormatPr defaultColWidth="9.140625" defaultRowHeight="15" x14ac:dyDescent="0.25"/>
  <cols>
    <col min="1" max="1" width="12" style="9" hidden="1" customWidth="1"/>
    <col min="2" max="2" width="17" style="13" hidden="1" customWidth="1"/>
    <col min="3" max="3" width="12.85546875" style="14" hidden="1" customWidth="1"/>
    <col min="4" max="4" width="19.7109375" style="9" customWidth="1"/>
    <col min="5" max="5" width="20.42578125" style="9" bestFit="1" customWidth="1"/>
    <col min="6" max="6" width="28.85546875" style="9" bestFit="1" customWidth="1"/>
    <col min="7" max="7" width="69" style="15" bestFit="1" customWidth="1"/>
    <col min="8" max="8" width="25.28515625" style="9" customWidth="1"/>
    <col min="9" max="9" width="13.7109375" style="38" customWidth="1"/>
    <col min="10" max="10" width="26.42578125" style="15" customWidth="1"/>
    <col min="11" max="11" width="41" style="9" bestFit="1" customWidth="1"/>
    <col min="12" max="12" width="26" style="16" hidden="1" customWidth="1"/>
    <col min="13" max="13" width="24.140625" style="16" hidden="1" customWidth="1"/>
    <col min="14" max="14" width="13.85546875" style="9" hidden="1" customWidth="1"/>
    <col min="15" max="15" width="12.7109375" style="9" hidden="1" customWidth="1"/>
    <col min="16" max="16" width="18.5703125" style="17" bestFit="1" customWidth="1"/>
    <col min="17" max="18" width="18.42578125" style="12" hidden="1" customWidth="1"/>
    <col min="19" max="20" width="15" style="12" hidden="1" customWidth="1"/>
    <col min="21" max="22" width="10.7109375" style="12" hidden="1" customWidth="1"/>
    <col min="23" max="23" width="16.85546875" style="12" hidden="1" customWidth="1"/>
    <col min="24" max="24" width="13.28515625" style="9" hidden="1" customWidth="1"/>
    <col min="25" max="25" width="18.85546875" style="9" hidden="1" customWidth="1"/>
    <col min="26" max="26" width="19.5703125" style="9" customWidth="1"/>
    <col min="27" max="16384" width="9.140625" style="9"/>
  </cols>
  <sheetData>
    <row r="1" spans="1:26" s="37" customFormat="1" ht="47.25" x14ac:dyDescent="0.25">
      <c r="A1" s="18" t="s">
        <v>0</v>
      </c>
      <c r="B1" s="32" t="s">
        <v>7</v>
      </c>
      <c r="C1" s="33" t="s">
        <v>203</v>
      </c>
      <c r="D1" s="18" t="s">
        <v>2</v>
      </c>
      <c r="E1" s="18" t="s">
        <v>1</v>
      </c>
      <c r="F1" s="18" t="s">
        <v>423</v>
      </c>
      <c r="G1" s="18" t="s">
        <v>424</v>
      </c>
      <c r="H1" s="18" t="s">
        <v>425</v>
      </c>
      <c r="I1" s="34" t="s">
        <v>3</v>
      </c>
      <c r="J1" s="18" t="s">
        <v>426</v>
      </c>
      <c r="K1" s="18" t="s">
        <v>422</v>
      </c>
      <c r="L1" s="34" t="s">
        <v>41</v>
      </c>
      <c r="M1" s="34" t="s">
        <v>44</v>
      </c>
      <c r="N1" s="18" t="s">
        <v>4</v>
      </c>
      <c r="O1" s="18" t="s">
        <v>5</v>
      </c>
      <c r="P1" s="35" t="s">
        <v>427</v>
      </c>
      <c r="Q1" s="36" t="s">
        <v>146</v>
      </c>
      <c r="R1" s="36" t="s">
        <v>262</v>
      </c>
      <c r="S1" s="36" t="s">
        <v>123</v>
      </c>
      <c r="T1" s="36" t="s">
        <v>124</v>
      </c>
      <c r="U1" s="36" t="s">
        <v>34</v>
      </c>
      <c r="V1" s="36" t="s">
        <v>32</v>
      </c>
      <c r="W1" s="36" t="s">
        <v>33</v>
      </c>
      <c r="X1" s="6" t="s">
        <v>6</v>
      </c>
      <c r="Y1" s="18" t="s">
        <v>428</v>
      </c>
      <c r="Z1" s="18" t="s">
        <v>429</v>
      </c>
    </row>
    <row r="2" spans="1:26" ht="15.75" x14ac:dyDescent="0.25">
      <c r="A2" s="19" t="s">
        <v>122</v>
      </c>
      <c r="B2" s="20" t="s">
        <v>105</v>
      </c>
      <c r="C2" s="21"/>
      <c r="D2" s="19" t="s">
        <v>99</v>
      </c>
      <c r="E2" s="19"/>
      <c r="F2" s="19" t="s">
        <v>444</v>
      </c>
      <c r="G2" s="23" t="s">
        <v>421</v>
      </c>
      <c r="H2" s="19" t="s">
        <v>49</v>
      </c>
      <c r="I2" s="31" t="s">
        <v>100</v>
      </c>
      <c r="J2" s="23"/>
      <c r="K2" s="19" t="s">
        <v>420</v>
      </c>
      <c r="L2" s="22" t="s">
        <v>9</v>
      </c>
      <c r="M2" s="22" t="s">
        <v>9</v>
      </c>
      <c r="N2" s="22" t="s">
        <v>9</v>
      </c>
      <c r="O2" s="22" t="s">
        <v>9</v>
      </c>
      <c r="P2" s="24">
        <v>1500</v>
      </c>
      <c r="Q2" s="7"/>
      <c r="R2" s="7"/>
      <c r="S2" s="8">
        <v>0.22</v>
      </c>
      <c r="T2" s="7">
        <f t="shared" ref="T2:T24" si="0">P2+(P2*S2)</f>
        <v>1830</v>
      </c>
      <c r="U2" s="7"/>
      <c r="V2" s="7"/>
      <c r="W2" s="7"/>
      <c r="X2" s="5"/>
      <c r="Y2" s="5"/>
      <c r="Z2" s="24">
        <v>1500</v>
      </c>
    </row>
    <row r="3" spans="1:26" ht="31.5" x14ac:dyDescent="0.25">
      <c r="A3" s="19" t="s">
        <v>400</v>
      </c>
      <c r="B3" s="20" t="s">
        <v>10</v>
      </c>
      <c r="C3" s="21">
        <v>42760</v>
      </c>
      <c r="D3" s="19" t="s">
        <v>8</v>
      </c>
      <c r="E3" s="19"/>
      <c r="F3" s="19" t="s">
        <v>444</v>
      </c>
      <c r="G3" s="23" t="s">
        <v>352</v>
      </c>
      <c r="H3" s="19" t="s">
        <v>17</v>
      </c>
      <c r="I3" s="31">
        <v>2</v>
      </c>
      <c r="J3" s="23" t="s">
        <v>204</v>
      </c>
      <c r="K3" s="19" t="s">
        <v>71</v>
      </c>
      <c r="L3" s="22" t="s">
        <v>18</v>
      </c>
      <c r="M3" s="22" t="s">
        <v>9</v>
      </c>
      <c r="N3" s="22" t="s">
        <v>18</v>
      </c>
      <c r="O3" s="22" t="s">
        <v>9</v>
      </c>
      <c r="P3" s="24">
        <v>734</v>
      </c>
      <c r="Q3" s="7"/>
      <c r="R3" s="7"/>
      <c r="S3" s="8">
        <v>0.22</v>
      </c>
      <c r="T3" s="7">
        <f t="shared" si="0"/>
        <v>895.48</v>
      </c>
      <c r="U3" s="7"/>
      <c r="V3" s="7"/>
      <c r="W3" s="7"/>
      <c r="X3" s="5"/>
      <c r="Y3" s="5"/>
      <c r="Z3" s="24">
        <v>734</v>
      </c>
    </row>
    <row r="4" spans="1:26" ht="15.75" x14ac:dyDescent="0.25">
      <c r="A4" s="19" t="s">
        <v>14</v>
      </c>
      <c r="B4" s="20" t="s">
        <v>15</v>
      </c>
      <c r="C4" s="21">
        <v>42768</v>
      </c>
      <c r="D4" s="19" t="s">
        <v>13</v>
      </c>
      <c r="E4" s="19"/>
      <c r="F4" s="19" t="s">
        <v>444</v>
      </c>
      <c r="G4" s="23" t="s">
        <v>457</v>
      </c>
      <c r="H4" s="19" t="s">
        <v>17</v>
      </c>
      <c r="I4" s="31">
        <v>1</v>
      </c>
      <c r="J4" s="23"/>
      <c r="K4" s="19" t="s">
        <v>458</v>
      </c>
      <c r="L4" s="22" t="s">
        <v>18</v>
      </c>
      <c r="M4" s="22" t="s">
        <v>9</v>
      </c>
      <c r="N4" s="22" t="s">
        <v>18</v>
      </c>
      <c r="O4" s="22" t="s">
        <v>9</v>
      </c>
      <c r="P4" s="24">
        <v>2700</v>
      </c>
      <c r="Q4" s="7"/>
      <c r="R4" s="7"/>
      <c r="S4" s="8">
        <v>0.22</v>
      </c>
      <c r="T4" s="7">
        <f t="shared" si="0"/>
        <v>3294</v>
      </c>
      <c r="U4" s="7"/>
      <c r="V4" s="7"/>
      <c r="W4" s="7"/>
      <c r="X4" s="5"/>
      <c r="Y4" s="5"/>
      <c r="Z4" s="24">
        <f>P4</f>
        <v>2700</v>
      </c>
    </row>
    <row r="5" spans="1:26" ht="15.75" x14ac:dyDescent="0.25">
      <c r="A5" s="19" t="s">
        <v>19</v>
      </c>
      <c r="B5" s="20" t="s">
        <v>20</v>
      </c>
      <c r="C5" s="21">
        <v>42772</v>
      </c>
      <c r="D5" s="19" t="s">
        <v>21</v>
      </c>
      <c r="E5" s="19"/>
      <c r="F5" s="19" t="s">
        <v>444</v>
      </c>
      <c r="G5" s="23" t="s">
        <v>460</v>
      </c>
      <c r="H5" s="19" t="s">
        <v>17</v>
      </c>
      <c r="I5" s="31">
        <v>1</v>
      </c>
      <c r="J5" s="23"/>
      <c r="K5" s="19" t="s">
        <v>22</v>
      </c>
      <c r="L5" s="22" t="s">
        <v>18</v>
      </c>
      <c r="M5" s="22" t="s">
        <v>9</v>
      </c>
      <c r="N5" s="22" t="s">
        <v>18</v>
      </c>
      <c r="O5" s="22" t="s">
        <v>9</v>
      </c>
      <c r="P5" s="24">
        <f>1500+1200</f>
        <v>2700</v>
      </c>
      <c r="Q5" s="7"/>
      <c r="R5" s="7"/>
      <c r="S5" s="8">
        <v>0.22</v>
      </c>
      <c r="T5" s="7">
        <f t="shared" si="0"/>
        <v>3294</v>
      </c>
      <c r="U5" s="7"/>
      <c r="V5" s="7"/>
      <c r="W5" s="7"/>
      <c r="X5" s="5"/>
      <c r="Y5" s="5"/>
      <c r="Z5" s="24">
        <f t="shared" ref="Z5:Z7" si="1">P5</f>
        <v>2700</v>
      </c>
    </row>
    <row r="6" spans="1:26" ht="15.75" x14ac:dyDescent="0.25">
      <c r="A6" s="19" t="s">
        <v>19</v>
      </c>
      <c r="B6" s="20" t="s">
        <v>133</v>
      </c>
      <c r="C6" s="21"/>
      <c r="D6" s="19" t="s">
        <v>21</v>
      </c>
      <c r="E6" s="19"/>
      <c r="F6" s="19" t="s">
        <v>444</v>
      </c>
      <c r="G6" s="23" t="s">
        <v>448</v>
      </c>
      <c r="H6" s="19" t="s">
        <v>17</v>
      </c>
      <c r="I6" s="31"/>
      <c r="J6" s="23"/>
      <c r="K6" s="19" t="s">
        <v>22</v>
      </c>
      <c r="L6" s="22" t="s">
        <v>18</v>
      </c>
      <c r="M6" s="22" t="s">
        <v>9</v>
      </c>
      <c r="N6" s="22" t="s">
        <v>9</v>
      </c>
      <c r="O6" s="19" t="s">
        <v>9</v>
      </c>
      <c r="P6" s="24">
        <v>1500</v>
      </c>
      <c r="Q6" s="7"/>
      <c r="R6" s="7"/>
      <c r="S6" s="8">
        <v>0.22</v>
      </c>
      <c r="T6" s="7">
        <f t="shared" si="0"/>
        <v>1830</v>
      </c>
      <c r="U6" s="7"/>
      <c r="V6" s="7"/>
      <c r="W6" s="7"/>
      <c r="X6" s="5"/>
      <c r="Y6" s="5"/>
      <c r="Z6" s="24">
        <f t="shared" si="1"/>
        <v>1500</v>
      </c>
    </row>
    <row r="7" spans="1:26" ht="15.75" x14ac:dyDescent="0.25">
      <c r="A7" s="19" t="s">
        <v>23</v>
      </c>
      <c r="B7" s="20" t="s">
        <v>24</v>
      </c>
      <c r="C7" s="21">
        <v>42772</v>
      </c>
      <c r="D7" s="19" t="s">
        <v>25</v>
      </c>
      <c r="E7" s="19"/>
      <c r="F7" s="19" t="s">
        <v>444</v>
      </c>
      <c r="G7" s="23" t="s">
        <v>353</v>
      </c>
      <c r="H7" s="19" t="s">
        <v>17</v>
      </c>
      <c r="I7" s="31">
        <v>1</v>
      </c>
      <c r="J7" s="23"/>
      <c r="K7" s="19" t="s">
        <v>22</v>
      </c>
      <c r="L7" s="22" t="s">
        <v>18</v>
      </c>
      <c r="M7" s="22" t="s">
        <v>9</v>
      </c>
      <c r="N7" s="22" t="s">
        <v>18</v>
      </c>
      <c r="O7" s="22" t="s">
        <v>9</v>
      </c>
      <c r="P7" s="24">
        <v>520</v>
      </c>
      <c r="Q7" s="7"/>
      <c r="R7" s="7"/>
      <c r="S7" s="8">
        <v>0.22</v>
      </c>
      <c r="T7" s="7">
        <f t="shared" si="0"/>
        <v>634.4</v>
      </c>
      <c r="U7" s="7"/>
      <c r="V7" s="7"/>
      <c r="W7" s="7"/>
      <c r="X7" s="5"/>
      <c r="Y7" s="5"/>
      <c r="Z7" s="24">
        <f t="shared" si="1"/>
        <v>520</v>
      </c>
    </row>
    <row r="8" spans="1:26" ht="15.75" x14ac:dyDescent="0.25">
      <c r="A8" s="19" t="s">
        <v>26</v>
      </c>
      <c r="B8" s="20" t="s">
        <v>27</v>
      </c>
      <c r="C8" s="21">
        <v>42772</v>
      </c>
      <c r="D8" s="19" t="s">
        <v>28</v>
      </c>
      <c r="E8" s="19"/>
      <c r="F8" s="19" t="s">
        <v>445</v>
      </c>
      <c r="G8" s="23" t="s">
        <v>459</v>
      </c>
      <c r="H8" s="19" t="s">
        <v>17</v>
      </c>
      <c r="I8" s="31">
        <v>1</v>
      </c>
      <c r="J8" s="23"/>
      <c r="K8" s="19" t="s">
        <v>438</v>
      </c>
      <c r="L8" s="22" t="s">
        <v>18</v>
      </c>
      <c r="M8" s="22" t="s">
        <v>18</v>
      </c>
      <c r="N8" s="22" t="s">
        <v>18</v>
      </c>
      <c r="O8" s="22" t="s">
        <v>18</v>
      </c>
      <c r="P8" s="24">
        <f>1170+46.8</f>
        <v>1216.8</v>
      </c>
      <c r="Q8" s="7"/>
      <c r="R8" s="7"/>
      <c r="S8" s="8">
        <v>0.22</v>
      </c>
      <c r="T8" s="7">
        <f t="shared" si="0"/>
        <v>1484.4959999999999</v>
      </c>
      <c r="U8" s="10">
        <v>13</v>
      </c>
      <c r="V8" s="10">
        <v>0</v>
      </c>
      <c r="W8" s="11">
        <f>U8-V8</f>
        <v>13</v>
      </c>
      <c r="X8" s="5"/>
      <c r="Y8" s="5"/>
      <c r="Z8" s="24">
        <v>655</v>
      </c>
    </row>
    <row r="9" spans="1:26" ht="15.75" x14ac:dyDescent="0.25">
      <c r="A9" s="19" t="s">
        <v>29</v>
      </c>
      <c r="B9" s="20" t="s">
        <v>30</v>
      </c>
      <c r="C9" s="21">
        <v>42772</v>
      </c>
      <c r="D9" s="19" t="s">
        <v>31</v>
      </c>
      <c r="E9" s="19"/>
      <c r="F9" s="19" t="s">
        <v>445</v>
      </c>
      <c r="G9" s="23" t="s">
        <v>354</v>
      </c>
      <c r="H9" s="19" t="s">
        <v>17</v>
      </c>
      <c r="I9" s="31">
        <v>1</v>
      </c>
      <c r="J9" s="23"/>
      <c r="K9" s="19" t="s">
        <v>414</v>
      </c>
      <c r="L9" s="22" t="s">
        <v>18</v>
      </c>
      <c r="M9" s="22" t="s">
        <v>18</v>
      </c>
      <c r="N9" s="22" t="s">
        <v>18</v>
      </c>
      <c r="O9" s="22" t="s">
        <v>18</v>
      </c>
      <c r="P9" s="24">
        <f>1180+472</f>
        <v>1652</v>
      </c>
      <c r="Q9" s="7"/>
      <c r="R9" s="7"/>
      <c r="S9" s="8">
        <v>0.22</v>
      </c>
      <c r="T9" s="7">
        <f t="shared" si="0"/>
        <v>2015.44</v>
      </c>
      <c r="U9" s="10">
        <v>118</v>
      </c>
      <c r="V9" s="10">
        <v>4.5</v>
      </c>
      <c r="W9" s="11">
        <f>U9-V9</f>
        <v>113.5</v>
      </c>
      <c r="X9" s="5"/>
      <c r="Y9" s="5"/>
      <c r="Z9" s="24">
        <v>1652</v>
      </c>
    </row>
    <row r="10" spans="1:26" ht="15.75" x14ac:dyDescent="0.25">
      <c r="A10" s="19" t="s">
        <v>35</v>
      </c>
      <c r="B10" s="20" t="s">
        <v>36</v>
      </c>
      <c r="C10" s="21">
        <v>42772</v>
      </c>
      <c r="D10" s="19" t="s">
        <v>37</v>
      </c>
      <c r="E10" s="19"/>
      <c r="F10" s="19" t="s">
        <v>445</v>
      </c>
      <c r="G10" s="23" t="s">
        <v>355</v>
      </c>
      <c r="H10" s="19" t="s">
        <v>17</v>
      </c>
      <c r="I10" s="31">
        <v>1</v>
      </c>
      <c r="J10" s="23"/>
      <c r="K10" s="19" t="s">
        <v>441</v>
      </c>
      <c r="L10" s="22" t="s">
        <v>18</v>
      </c>
      <c r="M10" s="22" t="s">
        <v>18</v>
      </c>
      <c r="N10" s="22" t="s">
        <v>18</v>
      </c>
      <c r="O10" s="22" t="s">
        <v>18</v>
      </c>
      <c r="P10" s="24">
        <f>8050+322</f>
        <v>8372</v>
      </c>
      <c r="Q10" s="7"/>
      <c r="R10" s="7"/>
      <c r="S10" s="8">
        <v>0.22</v>
      </c>
      <c r="T10" s="7">
        <f t="shared" si="0"/>
        <v>10213.84</v>
      </c>
      <c r="U10" s="10"/>
      <c r="V10" s="10"/>
      <c r="W10" s="11"/>
      <c r="X10" s="5"/>
      <c r="Y10" s="5"/>
      <c r="Z10" s="24">
        <v>8372</v>
      </c>
    </row>
    <row r="11" spans="1:26" ht="15.75" x14ac:dyDescent="0.25">
      <c r="A11" s="19" t="s">
        <v>38</v>
      </c>
      <c r="B11" s="20" t="s">
        <v>39</v>
      </c>
      <c r="C11" s="21">
        <v>42772</v>
      </c>
      <c r="D11" s="19" t="s">
        <v>40</v>
      </c>
      <c r="E11" s="19"/>
      <c r="F11" s="19" t="s">
        <v>445</v>
      </c>
      <c r="G11" s="23" t="s">
        <v>356</v>
      </c>
      <c r="H11" s="19" t="s">
        <v>17</v>
      </c>
      <c r="I11" s="31">
        <v>1</v>
      </c>
      <c r="J11" s="23"/>
      <c r="K11" s="19" t="s">
        <v>439</v>
      </c>
      <c r="L11" s="22" t="s">
        <v>18</v>
      </c>
      <c r="M11" s="22" t="s">
        <v>18</v>
      </c>
      <c r="N11" s="22" t="s">
        <v>18</v>
      </c>
      <c r="O11" s="22" t="s">
        <v>18</v>
      </c>
      <c r="P11" s="24">
        <f>11800+472</f>
        <v>12272</v>
      </c>
      <c r="Q11" s="7"/>
      <c r="R11" s="7"/>
      <c r="S11" s="8">
        <v>0.22</v>
      </c>
      <c r="T11" s="7">
        <f t="shared" si="0"/>
        <v>14971.84</v>
      </c>
      <c r="U11" s="10">
        <v>118</v>
      </c>
      <c r="V11" s="10">
        <v>44</v>
      </c>
      <c r="W11" s="11">
        <f>U11-V11</f>
        <v>74</v>
      </c>
      <c r="X11" s="5" t="s">
        <v>108</v>
      </c>
      <c r="Y11" s="5"/>
      <c r="Z11" s="24">
        <v>10712</v>
      </c>
    </row>
    <row r="12" spans="1:26" ht="31.5" x14ac:dyDescent="0.25">
      <c r="A12" s="19" t="s">
        <v>45</v>
      </c>
      <c r="B12" s="20" t="s">
        <v>42</v>
      </c>
      <c r="C12" s="21">
        <v>42772</v>
      </c>
      <c r="D12" s="19" t="s">
        <v>43</v>
      </c>
      <c r="E12" s="19"/>
      <c r="F12" s="19" t="s">
        <v>444</v>
      </c>
      <c r="G12" s="23" t="s">
        <v>357</v>
      </c>
      <c r="H12" s="19" t="s">
        <v>17</v>
      </c>
      <c r="I12" s="31" t="s">
        <v>16</v>
      </c>
      <c r="J12" s="23"/>
      <c r="K12" s="19" t="s">
        <v>294</v>
      </c>
      <c r="L12" s="22" t="s">
        <v>18</v>
      </c>
      <c r="M12" s="22" t="s">
        <v>9</v>
      </c>
      <c r="N12" s="22" t="s">
        <v>18</v>
      </c>
      <c r="O12" s="22" t="s">
        <v>9</v>
      </c>
      <c r="P12" s="24">
        <v>3500</v>
      </c>
      <c r="Q12" s="7"/>
      <c r="R12" s="7"/>
      <c r="S12" s="8">
        <v>0.22</v>
      </c>
      <c r="T12" s="7">
        <f t="shared" si="0"/>
        <v>4270</v>
      </c>
      <c r="U12" s="10">
        <v>100</v>
      </c>
      <c r="V12" s="10"/>
      <c r="W12" s="11">
        <f>U12-V12</f>
        <v>100</v>
      </c>
      <c r="X12" s="5"/>
      <c r="Y12" s="5"/>
      <c r="Z12" s="24">
        <v>3500</v>
      </c>
    </row>
    <row r="13" spans="1:26" ht="31.5" x14ac:dyDescent="0.25">
      <c r="A13" s="19" t="s">
        <v>46</v>
      </c>
      <c r="B13" s="20" t="s">
        <v>50</v>
      </c>
      <c r="C13" s="21">
        <v>42773</v>
      </c>
      <c r="D13" s="19" t="s">
        <v>47</v>
      </c>
      <c r="E13" s="19"/>
      <c r="F13" s="19" t="s">
        <v>444</v>
      </c>
      <c r="G13" s="23" t="s">
        <v>461</v>
      </c>
      <c r="H13" s="19" t="s">
        <v>17</v>
      </c>
      <c r="I13" s="31" t="s">
        <v>16</v>
      </c>
      <c r="J13" s="23"/>
      <c r="K13" s="19" t="s">
        <v>48</v>
      </c>
      <c r="L13" s="22" t="s">
        <v>18</v>
      </c>
      <c r="M13" s="22" t="s">
        <v>9</v>
      </c>
      <c r="N13" s="22" t="s">
        <v>18</v>
      </c>
      <c r="O13" s="22" t="s">
        <v>9</v>
      </c>
      <c r="P13" s="24">
        <v>5600</v>
      </c>
      <c r="Q13" s="7"/>
      <c r="R13" s="7"/>
      <c r="S13" s="8">
        <v>0.22</v>
      </c>
      <c r="T13" s="7">
        <f t="shared" si="0"/>
        <v>6832</v>
      </c>
      <c r="U13" s="10">
        <v>80</v>
      </c>
      <c r="V13" s="10"/>
      <c r="W13" s="11">
        <f>U13-V13</f>
        <v>80</v>
      </c>
      <c r="X13" s="5"/>
      <c r="Y13" s="5"/>
      <c r="Z13" s="24">
        <f>P13</f>
        <v>5600</v>
      </c>
    </row>
    <row r="14" spans="1:26" ht="31.5" x14ac:dyDescent="0.25">
      <c r="A14" s="19" t="s">
        <v>51</v>
      </c>
      <c r="B14" s="20" t="s">
        <v>52</v>
      </c>
      <c r="C14" s="21">
        <v>42774</v>
      </c>
      <c r="D14" s="19" t="s">
        <v>53</v>
      </c>
      <c r="E14" s="19"/>
      <c r="F14" s="19" t="s">
        <v>445</v>
      </c>
      <c r="G14" s="23" t="s">
        <v>358</v>
      </c>
      <c r="H14" s="19" t="s">
        <v>17</v>
      </c>
      <c r="I14" s="31">
        <v>4</v>
      </c>
      <c r="J14" s="23" t="s">
        <v>206</v>
      </c>
      <c r="K14" s="19" t="s">
        <v>54</v>
      </c>
      <c r="L14" s="22" t="s">
        <v>18</v>
      </c>
      <c r="M14" s="22" t="s">
        <v>9</v>
      </c>
      <c r="N14" s="22" t="s">
        <v>18</v>
      </c>
      <c r="O14" s="22" t="s">
        <v>9</v>
      </c>
      <c r="P14" s="24">
        <v>8400</v>
      </c>
      <c r="Q14" s="7"/>
      <c r="R14" s="7"/>
      <c r="S14" s="8">
        <v>0.22</v>
      </c>
      <c r="T14" s="7">
        <f t="shared" si="0"/>
        <v>10248</v>
      </c>
      <c r="U14" s="10"/>
      <c r="V14" s="10"/>
      <c r="W14" s="11"/>
      <c r="X14" s="5"/>
      <c r="Y14" s="5"/>
      <c r="Z14" s="24">
        <f>P14/2</f>
        <v>4200</v>
      </c>
    </row>
    <row r="15" spans="1:26" ht="45" customHeight="1" x14ac:dyDescent="0.25">
      <c r="A15" s="19" t="s">
        <v>56</v>
      </c>
      <c r="B15" s="20" t="s">
        <v>55</v>
      </c>
      <c r="C15" s="21">
        <v>42774</v>
      </c>
      <c r="D15" s="19" t="s">
        <v>57</v>
      </c>
      <c r="E15" s="19"/>
      <c r="F15" s="19" t="s">
        <v>445</v>
      </c>
      <c r="G15" s="23" t="s">
        <v>359</v>
      </c>
      <c r="H15" s="19" t="s">
        <v>17</v>
      </c>
      <c r="I15" s="31">
        <v>1</v>
      </c>
      <c r="J15" s="23"/>
      <c r="K15" s="19" t="s">
        <v>54</v>
      </c>
      <c r="L15" s="22" t="s">
        <v>18</v>
      </c>
      <c r="M15" s="22" t="s">
        <v>9</v>
      </c>
      <c r="N15" s="22" t="s">
        <v>58</v>
      </c>
      <c r="O15" s="22" t="s">
        <v>9</v>
      </c>
      <c r="P15" s="24">
        <v>7200</v>
      </c>
      <c r="Q15" s="7"/>
      <c r="R15" s="7"/>
      <c r="S15" s="8">
        <v>0.22</v>
      </c>
      <c r="T15" s="7">
        <f t="shared" si="0"/>
        <v>8784</v>
      </c>
      <c r="U15" s="10"/>
      <c r="V15" s="10"/>
      <c r="W15" s="11"/>
      <c r="X15" s="5"/>
      <c r="Y15" s="5"/>
      <c r="Z15" s="24">
        <f>P15/2</f>
        <v>3600</v>
      </c>
    </row>
    <row r="16" spans="1:26" ht="47.25" x14ac:dyDescent="0.25">
      <c r="A16" s="19" t="s">
        <v>59</v>
      </c>
      <c r="B16" s="20" t="s">
        <v>60</v>
      </c>
      <c r="C16" s="21">
        <v>42776</v>
      </c>
      <c r="D16" s="19" t="s">
        <v>61</v>
      </c>
      <c r="E16" s="19"/>
      <c r="F16" s="19" t="s">
        <v>445</v>
      </c>
      <c r="G16" s="23" t="s">
        <v>462</v>
      </c>
      <c r="H16" s="19" t="s">
        <v>17</v>
      </c>
      <c r="I16" s="31">
        <v>3</v>
      </c>
      <c r="J16" s="25" t="s">
        <v>205</v>
      </c>
      <c r="K16" s="19" t="s">
        <v>62</v>
      </c>
      <c r="L16" s="22" t="s">
        <v>18</v>
      </c>
      <c r="M16" s="22" t="s">
        <v>9</v>
      </c>
      <c r="N16" s="22" t="s">
        <v>18</v>
      </c>
      <c r="O16" s="22" t="s">
        <v>9</v>
      </c>
      <c r="P16" s="24">
        <v>31500</v>
      </c>
      <c r="Q16" s="7"/>
      <c r="R16" s="7"/>
      <c r="S16" s="8">
        <v>0.22</v>
      </c>
      <c r="T16" s="7">
        <f t="shared" si="0"/>
        <v>38430</v>
      </c>
      <c r="U16" s="10"/>
      <c r="V16" s="10"/>
      <c r="W16" s="11"/>
      <c r="X16" s="5" t="s">
        <v>63</v>
      </c>
      <c r="Y16" s="5"/>
      <c r="Z16" s="24">
        <v>3369.3</v>
      </c>
    </row>
    <row r="17" spans="1:26" ht="15.75" x14ac:dyDescent="0.25">
      <c r="A17" s="19" t="s">
        <v>65</v>
      </c>
      <c r="B17" s="20" t="s">
        <v>64</v>
      </c>
      <c r="C17" s="21">
        <v>42776</v>
      </c>
      <c r="D17" s="19" t="s">
        <v>66</v>
      </c>
      <c r="E17" s="19"/>
      <c r="F17" s="19" t="s">
        <v>433</v>
      </c>
      <c r="G17" s="23" t="s">
        <v>463</v>
      </c>
      <c r="H17" s="19" t="s">
        <v>17</v>
      </c>
      <c r="I17" s="31">
        <v>1</v>
      </c>
      <c r="J17" s="23"/>
      <c r="K17" s="19" t="s">
        <v>67</v>
      </c>
      <c r="L17" s="22" t="s">
        <v>18</v>
      </c>
      <c r="M17" s="22" t="s">
        <v>9</v>
      </c>
      <c r="N17" s="22" t="s">
        <v>18</v>
      </c>
      <c r="O17" s="22" t="s">
        <v>9</v>
      </c>
      <c r="P17" s="24">
        <v>18144</v>
      </c>
      <c r="Q17" s="7"/>
      <c r="R17" s="7"/>
      <c r="S17" s="8">
        <v>0.22</v>
      </c>
      <c r="T17" s="7">
        <f t="shared" si="0"/>
        <v>22135.68</v>
      </c>
      <c r="U17" s="10"/>
      <c r="V17" s="10"/>
      <c r="W17" s="11"/>
      <c r="X17" s="5"/>
      <c r="Y17" s="5"/>
      <c r="Z17" s="24">
        <f>P17</f>
        <v>18144</v>
      </c>
    </row>
    <row r="18" spans="1:26" ht="31.5" x14ac:dyDescent="0.25">
      <c r="A18" s="19" t="s">
        <v>69</v>
      </c>
      <c r="B18" s="20" t="s">
        <v>68</v>
      </c>
      <c r="C18" s="21">
        <v>42786</v>
      </c>
      <c r="D18" s="19" t="s">
        <v>70</v>
      </c>
      <c r="E18" s="19"/>
      <c r="F18" s="19" t="s">
        <v>444</v>
      </c>
      <c r="G18" s="23" t="s">
        <v>360</v>
      </c>
      <c r="H18" s="19" t="s">
        <v>17</v>
      </c>
      <c r="I18" s="31" t="s">
        <v>16</v>
      </c>
      <c r="J18" s="23"/>
      <c r="K18" s="19" t="s">
        <v>71</v>
      </c>
      <c r="L18" s="22" t="s">
        <v>18</v>
      </c>
      <c r="M18" s="22" t="s">
        <v>9</v>
      </c>
      <c r="N18" s="22" t="s">
        <v>18</v>
      </c>
      <c r="O18" s="22" t="s">
        <v>9</v>
      </c>
      <c r="P18" s="24">
        <v>1333</v>
      </c>
      <c r="Q18" s="7"/>
      <c r="R18" s="7"/>
      <c r="S18" s="8">
        <v>0.22</v>
      </c>
      <c r="T18" s="7">
        <f t="shared" si="0"/>
        <v>1626.26</v>
      </c>
      <c r="U18" s="10"/>
      <c r="V18" s="10"/>
      <c r="W18" s="11"/>
      <c r="X18" s="5"/>
      <c r="Y18" s="5"/>
      <c r="Z18" s="24">
        <f>P18</f>
        <v>1333</v>
      </c>
    </row>
    <row r="19" spans="1:26" ht="31.5" x14ac:dyDescent="0.25">
      <c r="A19" s="19" t="s">
        <v>98</v>
      </c>
      <c r="B19" s="20" t="s">
        <v>105</v>
      </c>
      <c r="C19" s="21">
        <v>42816</v>
      </c>
      <c r="D19" s="19" t="s">
        <v>102</v>
      </c>
      <c r="E19" s="19"/>
      <c r="F19" s="19" t="s">
        <v>433</v>
      </c>
      <c r="G19" s="23" t="s">
        <v>361</v>
      </c>
      <c r="H19" s="19" t="s">
        <v>17</v>
      </c>
      <c r="I19" s="31" t="s">
        <v>16</v>
      </c>
      <c r="J19" s="23"/>
      <c r="K19" s="19" t="s">
        <v>107</v>
      </c>
      <c r="L19" s="22" t="s">
        <v>18</v>
      </c>
      <c r="M19" s="22" t="s">
        <v>9</v>
      </c>
      <c r="N19" s="22" t="s">
        <v>18</v>
      </c>
      <c r="O19" s="22" t="s">
        <v>9</v>
      </c>
      <c r="P19" s="24">
        <v>1000</v>
      </c>
      <c r="Q19" s="7"/>
      <c r="R19" s="7"/>
      <c r="S19" s="8">
        <v>0.22</v>
      </c>
      <c r="T19" s="7">
        <f t="shared" si="0"/>
        <v>1220</v>
      </c>
      <c r="U19" s="10">
        <v>10</v>
      </c>
      <c r="V19" s="7"/>
      <c r="W19" s="7"/>
      <c r="X19" s="5"/>
      <c r="Y19" s="5"/>
      <c r="Z19" s="24">
        <f>P19</f>
        <v>1000</v>
      </c>
    </row>
    <row r="20" spans="1:26" ht="31.5" x14ac:dyDescent="0.25">
      <c r="A20" s="19" t="s">
        <v>101</v>
      </c>
      <c r="B20" s="20" t="s">
        <v>106</v>
      </c>
      <c r="C20" s="21">
        <v>42817</v>
      </c>
      <c r="D20" s="19" t="s">
        <v>103</v>
      </c>
      <c r="E20" s="19"/>
      <c r="F20" s="19" t="s">
        <v>444</v>
      </c>
      <c r="G20" s="23" t="s">
        <v>362</v>
      </c>
      <c r="H20" s="19" t="s">
        <v>17</v>
      </c>
      <c r="I20" s="31" t="s">
        <v>16</v>
      </c>
      <c r="J20" s="23"/>
      <c r="K20" s="19" t="s">
        <v>71</v>
      </c>
      <c r="L20" s="22" t="s">
        <v>18</v>
      </c>
      <c r="M20" s="22" t="s">
        <v>9</v>
      </c>
      <c r="N20" s="22" t="s">
        <v>18</v>
      </c>
      <c r="O20" s="22" t="s">
        <v>9</v>
      </c>
      <c r="P20" s="24">
        <v>412</v>
      </c>
      <c r="Q20" s="7"/>
      <c r="R20" s="7"/>
      <c r="S20" s="8">
        <v>0.22</v>
      </c>
      <c r="T20" s="7">
        <f t="shared" si="0"/>
        <v>502.64</v>
      </c>
      <c r="U20" s="7"/>
      <c r="V20" s="7"/>
      <c r="W20" s="7"/>
      <c r="X20" s="5"/>
      <c r="Y20" s="5"/>
      <c r="Z20" s="24">
        <f>P20</f>
        <v>412</v>
      </c>
    </row>
    <row r="21" spans="1:26" ht="15.75" x14ac:dyDescent="0.25">
      <c r="A21" s="19" t="s">
        <v>125</v>
      </c>
      <c r="B21" s="20" t="s">
        <v>134</v>
      </c>
      <c r="C21" s="21">
        <v>42851</v>
      </c>
      <c r="D21" s="19" t="s">
        <v>126</v>
      </c>
      <c r="E21" s="19"/>
      <c r="F21" s="19" t="s">
        <v>433</v>
      </c>
      <c r="G21" s="23" t="s">
        <v>363</v>
      </c>
      <c r="H21" s="19" t="s">
        <v>17</v>
      </c>
      <c r="I21" s="31">
        <v>1</v>
      </c>
      <c r="J21" s="23"/>
      <c r="K21" s="19" t="s">
        <v>54</v>
      </c>
      <c r="L21" s="22" t="s">
        <v>18</v>
      </c>
      <c r="M21" s="22" t="s">
        <v>9</v>
      </c>
      <c r="N21" s="22" t="s">
        <v>18</v>
      </c>
      <c r="O21" s="19" t="s">
        <v>9</v>
      </c>
      <c r="P21" s="24">
        <v>15000</v>
      </c>
      <c r="Q21" s="7"/>
      <c r="R21" s="7"/>
      <c r="S21" s="8">
        <v>0.22</v>
      </c>
      <c r="T21" s="7">
        <f t="shared" si="0"/>
        <v>18300</v>
      </c>
      <c r="U21" s="7"/>
      <c r="V21" s="7"/>
      <c r="W21" s="7"/>
      <c r="X21" s="5"/>
      <c r="Y21" s="5"/>
      <c r="Z21" s="24">
        <f>3750+3750</f>
        <v>7500</v>
      </c>
    </row>
    <row r="22" spans="1:26" ht="31.5" x14ac:dyDescent="0.25">
      <c r="A22" s="19" t="s">
        <v>128</v>
      </c>
      <c r="B22" s="20" t="s">
        <v>136</v>
      </c>
      <c r="C22" s="21">
        <v>42852</v>
      </c>
      <c r="D22" s="19" t="s">
        <v>131</v>
      </c>
      <c r="E22" s="19"/>
      <c r="F22" s="19" t="s">
        <v>444</v>
      </c>
      <c r="G22" s="23" t="s">
        <v>364</v>
      </c>
      <c r="H22" s="19" t="s">
        <v>17</v>
      </c>
      <c r="I22" s="31">
        <v>1</v>
      </c>
      <c r="J22" s="23"/>
      <c r="K22" s="19" t="s">
        <v>22</v>
      </c>
      <c r="L22" s="22" t="s">
        <v>18</v>
      </c>
      <c r="M22" s="22" t="s">
        <v>9</v>
      </c>
      <c r="N22" s="22" t="s">
        <v>18</v>
      </c>
      <c r="O22" s="19" t="s">
        <v>9</v>
      </c>
      <c r="P22" s="24">
        <v>600</v>
      </c>
      <c r="Q22" s="7"/>
      <c r="R22" s="7"/>
      <c r="S22" s="8">
        <v>0.22</v>
      </c>
      <c r="T22" s="7">
        <f t="shared" si="0"/>
        <v>732</v>
      </c>
      <c r="U22" s="7"/>
      <c r="V22" s="7"/>
      <c r="W22" s="7"/>
      <c r="X22" s="5"/>
      <c r="Y22" s="5"/>
      <c r="Z22" s="24">
        <v>600</v>
      </c>
    </row>
    <row r="23" spans="1:26" ht="15.75" x14ac:dyDescent="0.25">
      <c r="A23" s="19" t="s">
        <v>135</v>
      </c>
      <c r="B23" s="20" t="s">
        <v>137</v>
      </c>
      <c r="C23" s="21">
        <v>42853</v>
      </c>
      <c r="D23" s="19" t="s">
        <v>130</v>
      </c>
      <c r="E23" s="19"/>
      <c r="F23" s="19" t="s">
        <v>444</v>
      </c>
      <c r="G23" s="23" t="s">
        <v>365</v>
      </c>
      <c r="H23" s="19" t="s">
        <v>17</v>
      </c>
      <c r="I23" s="31">
        <v>1</v>
      </c>
      <c r="J23" s="23"/>
      <c r="K23" s="19" t="s">
        <v>22</v>
      </c>
      <c r="L23" s="22" t="s">
        <v>18</v>
      </c>
      <c r="M23" s="22" t="s">
        <v>9</v>
      </c>
      <c r="N23" s="22" t="s">
        <v>18</v>
      </c>
      <c r="O23" s="19" t="s">
        <v>9</v>
      </c>
      <c r="P23" s="24">
        <f>1457.9-262.9</f>
        <v>1195</v>
      </c>
      <c r="Q23" s="7"/>
      <c r="R23" s="7"/>
      <c r="S23" s="8">
        <v>0.22</v>
      </c>
      <c r="T23" s="7">
        <f t="shared" si="0"/>
        <v>1457.9</v>
      </c>
      <c r="U23" s="7"/>
      <c r="V23" s="7"/>
      <c r="W23" s="7"/>
      <c r="X23" s="5"/>
      <c r="Y23" s="5"/>
      <c r="Z23" s="24">
        <v>1195</v>
      </c>
    </row>
    <row r="24" spans="1:26" ht="31.5" x14ac:dyDescent="0.25">
      <c r="A24" s="19" t="s">
        <v>139</v>
      </c>
      <c r="B24" s="20" t="s">
        <v>147</v>
      </c>
      <c r="C24" s="21">
        <v>42857</v>
      </c>
      <c r="D24" s="26" t="s">
        <v>129</v>
      </c>
      <c r="E24" s="19"/>
      <c r="F24" s="26" t="s">
        <v>444</v>
      </c>
      <c r="G24" s="23" t="s">
        <v>366</v>
      </c>
      <c r="H24" s="19" t="s">
        <v>17</v>
      </c>
      <c r="I24" s="31" t="s">
        <v>16</v>
      </c>
      <c r="J24" s="23"/>
      <c r="K24" s="19" t="s">
        <v>71</v>
      </c>
      <c r="L24" s="22" t="s">
        <v>18</v>
      </c>
      <c r="M24" s="22" t="s">
        <v>9</v>
      </c>
      <c r="N24" s="22" t="s">
        <v>18</v>
      </c>
      <c r="O24" s="19" t="s">
        <v>9</v>
      </c>
      <c r="P24" s="24">
        <f>1129+958</f>
        <v>2087</v>
      </c>
      <c r="Q24" s="7"/>
      <c r="R24" s="7"/>
      <c r="S24" s="8">
        <v>0.22</v>
      </c>
      <c r="T24" s="7">
        <f t="shared" si="0"/>
        <v>2546.14</v>
      </c>
      <c r="U24" s="7"/>
      <c r="V24" s="7"/>
      <c r="W24" s="7"/>
      <c r="X24" s="5"/>
      <c r="Y24" s="5"/>
      <c r="Z24" s="24">
        <v>2087</v>
      </c>
    </row>
    <row r="25" spans="1:26" ht="31.5" x14ac:dyDescent="0.25">
      <c r="A25" s="19" t="s">
        <v>148</v>
      </c>
      <c r="B25" s="20" t="s">
        <v>149</v>
      </c>
      <c r="C25" s="21">
        <v>42863</v>
      </c>
      <c r="D25" s="19" t="s">
        <v>138</v>
      </c>
      <c r="E25" s="19"/>
      <c r="F25" s="19" t="s">
        <v>447</v>
      </c>
      <c r="G25" s="23" t="s">
        <v>446</v>
      </c>
      <c r="H25" s="19" t="s">
        <v>17</v>
      </c>
      <c r="I25" s="31" t="s">
        <v>16</v>
      </c>
      <c r="J25" s="23"/>
      <c r="K25" s="19" t="s">
        <v>143</v>
      </c>
      <c r="L25" s="22" t="s">
        <v>18</v>
      </c>
      <c r="M25" s="22" t="s">
        <v>18</v>
      </c>
      <c r="N25" s="22" t="s">
        <v>18</v>
      </c>
      <c r="O25" s="19" t="s">
        <v>18</v>
      </c>
      <c r="P25" s="24">
        <f>7500+300</f>
        <v>7800</v>
      </c>
      <c r="Q25" s="7">
        <v>300</v>
      </c>
      <c r="R25" s="7"/>
      <c r="S25" s="8">
        <v>0.22</v>
      </c>
      <c r="T25" s="7">
        <f t="shared" ref="T25:T33" si="2">(P25+Q25)+((P25+Q25)*22%)</f>
        <v>9882</v>
      </c>
      <c r="U25" s="7"/>
      <c r="V25" s="7"/>
      <c r="W25" s="7"/>
      <c r="X25" s="5"/>
      <c r="Y25" s="5"/>
      <c r="Z25" s="24">
        <f t="shared" ref="Z25:Z29" si="3">P25</f>
        <v>7800</v>
      </c>
    </row>
    <row r="26" spans="1:26" ht="47.25" x14ac:dyDescent="0.25">
      <c r="A26" s="19" t="s">
        <v>150</v>
      </c>
      <c r="B26" s="20" t="s">
        <v>151</v>
      </c>
      <c r="C26" s="21">
        <v>42870</v>
      </c>
      <c r="D26" s="19" t="s">
        <v>152</v>
      </c>
      <c r="E26" s="19"/>
      <c r="F26" s="19" t="s">
        <v>451</v>
      </c>
      <c r="G26" s="23" t="s">
        <v>368</v>
      </c>
      <c r="H26" s="19" t="s">
        <v>17</v>
      </c>
      <c r="I26" s="31">
        <v>1</v>
      </c>
      <c r="J26" s="23"/>
      <c r="K26" s="19" t="s">
        <v>153</v>
      </c>
      <c r="L26" s="22" t="s">
        <v>18</v>
      </c>
      <c r="M26" s="22" t="s">
        <v>9</v>
      </c>
      <c r="N26" s="19" t="s">
        <v>18</v>
      </c>
      <c r="O26" s="19" t="s">
        <v>9</v>
      </c>
      <c r="P26" s="24">
        <v>1500</v>
      </c>
      <c r="Q26" s="7"/>
      <c r="R26" s="7"/>
      <c r="S26" s="8">
        <v>0.22</v>
      </c>
      <c r="T26" s="7">
        <f t="shared" si="2"/>
        <v>1830</v>
      </c>
      <c r="U26" s="7"/>
      <c r="V26" s="7"/>
      <c r="W26" s="7"/>
      <c r="X26" s="5"/>
      <c r="Y26" s="5"/>
      <c r="Z26" s="24">
        <f t="shared" si="3"/>
        <v>1500</v>
      </c>
    </row>
    <row r="27" spans="1:26" ht="31.5" x14ac:dyDescent="0.25">
      <c r="A27" s="19" t="s">
        <v>154</v>
      </c>
      <c r="B27" s="20" t="s">
        <v>155</v>
      </c>
      <c r="C27" s="21">
        <v>42863</v>
      </c>
      <c r="D27" s="19" t="s">
        <v>156</v>
      </c>
      <c r="E27" s="19"/>
      <c r="F27" s="19" t="s">
        <v>449</v>
      </c>
      <c r="G27" s="23" t="s">
        <v>367</v>
      </c>
      <c r="H27" s="19" t="s">
        <v>17</v>
      </c>
      <c r="I27" s="31">
        <v>3</v>
      </c>
      <c r="J27" s="23" t="s">
        <v>207</v>
      </c>
      <c r="K27" s="19" t="s">
        <v>157</v>
      </c>
      <c r="L27" s="22" t="s">
        <v>18</v>
      </c>
      <c r="M27" s="22" t="s">
        <v>9</v>
      </c>
      <c r="N27" s="19" t="s">
        <v>18</v>
      </c>
      <c r="O27" s="19" t="s">
        <v>9</v>
      </c>
      <c r="P27" s="24">
        <f>3200+600+1758</f>
        <v>5558</v>
      </c>
      <c r="Q27" s="7"/>
      <c r="R27" s="7"/>
      <c r="S27" s="8">
        <v>0.22</v>
      </c>
      <c r="T27" s="7">
        <f t="shared" si="2"/>
        <v>6780.76</v>
      </c>
      <c r="U27" s="7"/>
      <c r="V27" s="7"/>
      <c r="W27" s="7"/>
      <c r="X27" s="5"/>
      <c r="Y27" s="5"/>
      <c r="Z27" s="24">
        <f t="shared" si="3"/>
        <v>5558</v>
      </c>
    </row>
    <row r="28" spans="1:26" ht="15.75" x14ac:dyDescent="0.25">
      <c r="A28" s="20" t="s">
        <v>208</v>
      </c>
      <c r="B28" s="20" t="s">
        <v>314</v>
      </c>
      <c r="C28" s="21">
        <v>42880</v>
      </c>
      <c r="D28" s="19" t="s">
        <v>144</v>
      </c>
      <c r="E28" s="19"/>
      <c r="F28" s="19" t="s">
        <v>449</v>
      </c>
      <c r="G28" s="23" t="s">
        <v>145</v>
      </c>
      <c r="H28" s="19" t="s">
        <v>17</v>
      </c>
      <c r="I28" s="31">
        <v>1</v>
      </c>
      <c r="J28" s="23"/>
      <c r="K28" s="19" t="s">
        <v>209</v>
      </c>
      <c r="L28" s="22"/>
      <c r="M28" s="22"/>
      <c r="N28" s="19"/>
      <c r="O28" s="19"/>
      <c r="P28" s="24">
        <f>320+12.8</f>
        <v>332.8</v>
      </c>
      <c r="Q28" s="7">
        <f>P28*0.04</f>
        <v>13.312000000000001</v>
      </c>
      <c r="R28" s="7"/>
      <c r="S28" s="8">
        <v>0.22</v>
      </c>
      <c r="T28" s="7">
        <f t="shared" si="2"/>
        <v>422.25664000000006</v>
      </c>
      <c r="U28" s="7"/>
      <c r="V28" s="7"/>
      <c r="W28" s="7"/>
      <c r="X28" s="5"/>
      <c r="Y28" s="5"/>
      <c r="Z28" s="24">
        <f>83.2*2</f>
        <v>166.4</v>
      </c>
    </row>
    <row r="29" spans="1:26" ht="31.5" x14ac:dyDescent="0.25">
      <c r="A29" s="20" t="s">
        <v>210</v>
      </c>
      <c r="B29" s="20" t="s">
        <v>315</v>
      </c>
      <c r="C29" s="27">
        <v>42886</v>
      </c>
      <c r="D29" s="19" t="s">
        <v>211</v>
      </c>
      <c r="E29" s="19"/>
      <c r="F29" s="19" t="s">
        <v>451</v>
      </c>
      <c r="G29" s="23" t="s">
        <v>213</v>
      </c>
      <c r="H29" s="19" t="s">
        <v>17</v>
      </c>
      <c r="I29" s="31" t="s">
        <v>16</v>
      </c>
      <c r="J29" s="23"/>
      <c r="K29" s="19" t="s">
        <v>212</v>
      </c>
      <c r="L29" s="22"/>
      <c r="M29" s="22"/>
      <c r="N29" s="19"/>
      <c r="O29" s="19"/>
      <c r="P29" s="24">
        <v>985</v>
      </c>
      <c r="Q29" s="7">
        <v>0</v>
      </c>
      <c r="R29" s="7"/>
      <c r="S29" s="8">
        <v>0.22</v>
      </c>
      <c r="T29" s="7">
        <f t="shared" si="2"/>
        <v>1201.7</v>
      </c>
      <c r="U29" s="7"/>
      <c r="V29" s="7"/>
      <c r="W29" s="7"/>
      <c r="X29" s="5"/>
      <c r="Y29" s="5"/>
      <c r="Z29" s="24">
        <f t="shared" si="3"/>
        <v>985</v>
      </c>
    </row>
    <row r="30" spans="1:26" ht="31.5" x14ac:dyDescent="0.25">
      <c r="A30" s="20" t="s">
        <v>214</v>
      </c>
      <c r="B30" s="20" t="s">
        <v>316</v>
      </c>
      <c r="C30" s="21">
        <v>42886</v>
      </c>
      <c r="D30" s="19" t="s">
        <v>215</v>
      </c>
      <c r="E30" s="19"/>
      <c r="F30" s="19" t="s">
        <v>445</v>
      </c>
      <c r="G30" s="23" t="s">
        <v>464</v>
      </c>
      <c r="H30" s="19" t="s">
        <v>17</v>
      </c>
      <c r="I30" s="31">
        <v>1</v>
      </c>
      <c r="J30" s="23"/>
      <c r="K30" s="23" t="s">
        <v>216</v>
      </c>
      <c r="L30" s="22"/>
      <c r="M30" s="22"/>
      <c r="N30" s="19"/>
      <c r="O30" s="19"/>
      <c r="P30" s="24">
        <v>1248</v>
      </c>
      <c r="Q30" s="7">
        <v>48</v>
      </c>
      <c r="R30" s="7"/>
      <c r="S30" s="8">
        <v>0.22</v>
      </c>
      <c r="T30" s="7">
        <f t="shared" si="2"/>
        <v>1581.12</v>
      </c>
      <c r="U30" s="7"/>
      <c r="V30" s="7"/>
      <c r="W30" s="7"/>
      <c r="X30" s="5"/>
      <c r="Y30" s="5"/>
      <c r="Z30" s="24">
        <v>1248</v>
      </c>
    </row>
    <row r="31" spans="1:26" ht="31.5" x14ac:dyDescent="0.25">
      <c r="A31" s="20" t="s">
        <v>217</v>
      </c>
      <c r="B31" s="20" t="s">
        <v>318</v>
      </c>
      <c r="C31" s="21">
        <v>42901</v>
      </c>
      <c r="D31" s="19" t="s">
        <v>218</v>
      </c>
      <c r="E31" s="19"/>
      <c r="F31" s="19" t="s">
        <v>433</v>
      </c>
      <c r="G31" s="23" t="s">
        <v>219</v>
      </c>
      <c r="H31" s="19" t="s">
        <v>17</v>
      </c>
      <c r="I31" s="31">
        <v>1</v>
      </c>
      <c r="J31" s="23"/>
      <c r="K31" s="19" t="s">
        <v>220</v>
      </c>
      <c r="L31" s="22"/>
      <c r="M31" s="22"/>
      <c r="N31" s="19"/>
      <c r="O31" s="19"/>
      <c r="P31" s="24">
        <v>1530</v>
      </c>
      <c r="Q31" s="7">
        <v>30</v>
      </c>
      <c r="R31" s="7"/>
      <c r="S31" s="8">
        <v>0.22</v>
      </c>
      <c r="T31" s="7">
        <f t="shared" si="2"/>
        <v>1903.2</v>
      </c>
      <c r="U31" s="7"/>
      <c r="V31" s="7"/>
      <c r="W31" s="7"/>
      <c r="X31" s="5"/>
      <c r="Y31" s="5"/>
      <c r="Z31" s="24">
        <f>P31</f>
        <v>1530</v>
      </c>
    </row>
    <row r="32" spans="1:26" ht="31.5" x14ac:dyDescent="0.25">
      <c r="A32" s="20" t="s">
        <v>221</v>
      </c>
      <c r="B32" s="20" t="s">
        <v>317</v>
      </c>
      <c r="C32" s="21">
        <v>42912</v>
      </c>
      <c r="D32" s="19" t="s">
        <v>223</v>
      </c>
      <c r="E32" s="19"/>
      <c r="F32" s="19" t="s">
        <v>451</v>
      </c>
      <c r="G32" s="23" t="s">
        <v>222</v>
      </c>
      <c r="H32" s="19" t="s">
        <v>17</v>
      </c>
      <c r="I32" s="31">
        <v>1</v>
      </c>
      <c r="J32" s="23"/>
      <c r="K32" s="19" t="s">
        <v>153</v>
      </c>
      <c r="L32" s="22"/>
      <c r="M32" s="22"/>
      <c r="N32" s="19"/>
      <c r="O32" s="19"/>
      <c r="P32" s="24">
        <v>4800</v>
      </c>
      <c r="Q32" s="7"/>
      <c r="R32" s="7"/>
      <c r="S32" s="8">
        <v>0.22</v>
      </c>
      <c r="T32" s="7">
        <f t="shared" si="2"/>
        <v>5856</v>
      </c>
      <c r="U32" s="7"/>
      <c r="V32" s="7"/>
      <c r="W32" s="7"/>
      <c r="X32" s="5"/>
      <c r="Y32" s="5"/>
      <c r="Z32" s="24">
        <v>1200</v>
      </c>
    </row>
    <row r="33" spans="1:26" ht="47.25" x14ac:dyDescent="0.25">
      <c r="A33" s="20" t="s">
        <v>224</v>
      </c>
      <c r="B33" s="20" t="s">
        <v>319</v>
      </c>
      <c r="C33" s="21">
        <v>42916</v>
      </c>
      <c r="D33" s="19" t="s">
        <v>158</v>
      </c>
      <c r="E33" s="19"/>
      <c r="F33" s="19" t="s">
        <v>445</v>
      </c>
      <c r="G33" s="23" t="s">
        <v>369</v>
      </c>
      <c r="H33" s="19" t="s">
        <v>17</v>
      </c>
      <c r="I33" s="31">
        <v>1</v>
      </c>
      <c r="J33" s="23"/>
      <c r="K33" s="19" t="s">
        <v>159</v>
      </c>
      <c r="L33" s="22"/>
      <c r="M33" s="22"/>
      <c r="N33" s="19"/>
      <c r="O33" s="19"/>
      <c r="P33" s="24">
        <f>35000+1200</f>
        <v>36200</v>
      </c>
      <c r="Q33" s="7"/>
      <c r="R33" s="7"/>
      <c r="S33" s="8">
        <v>0.22</v>
      </c>
      <c r="T33" s="7">
        <f t="shared" si="2"/>
        <v>44164</v>
      </c>
      <c r="U33" s="7"/>
      <c r="V33" s="7"/>
      <c r="W33" s="7"/>
      <c r="X33" s="5"/>
      <c r="Y33" s="5"/>
      <c r="Z33" s="24">
        <f>1000+1000+4500+9000</f>
        <v>15500</v>
      </c>
    </row>
    <row r="34" spans="1:26" ht="47.25" x14ac:dyDescent="0.25">
      <c r="A34" s="20" t="s">
        <v>225</v>
      </c>
      <c r="B34" s="20"/>
      <c r="C34" s="21">
        <v>42921</v>
      </c>
      <c r="D34" s="19" t="s">
        <v>202</v>
      </c>
      <c r="E34" s="19" t="s">
        <v>226</v>
      </c>
      <c r="F34" s="19" t="s">
        <v>451</v>
      </c>
      <c r="G34" s="23" t="s">
        <v>390</v>
      </c>
      <c r="H34" s="19" t="s">
        <v>17</v>
      </c>
      <c r="I34" s="31" t="s">
        <v>202</v>
      </c>
      <c r="J34" s="22" t="s">
        <v>202</v>
      </c>
      <c r="K34" s="19" t="s">
        <v>160</v>
      </c>
      <c r="L34" s="22"/>
      <c r="M34" s="22"/>
      <c r="N34" s="19"/>
      <c r="O34" s="19"/>
      <c r="P34" s="24">
        <v>12769.29</v>
      </c>
      <c r="Q34" s="7"/>
      <c r="R34" s="7"/>
      <c r="S34" s="8">
        <v>0</v>
      </c>
      <c r="T34" s="7">
        <f>P34</f>
        <v>12769.29</v>
      </c>
      <c r="U34" s="7"/>
      <c r="V34" s="7"/>
      <c r="W34" s="7"/>
      <c r="X34" s="5"/>
      <c r="Y34" s="5"/>
      <c r="Z34" s="24">
        <f>P34/18*6</f>
        <v>4256.43</v>
      </c>
    </row>
    <row r="35" spans="1:26" ht="47.25" x14ac:dyDescent="0.25">
      <c r="A35" s="20" t="s">
        <v>227</v>
      </c>
      <c r="B35" s="20"/>
      <c r="C35" s="21">
        <v>42926</v>
      </c>
      <c r="D35" s="19" t="s">
        <v>161</v>
      </c>
      <c r="E35" s="19" t="s">
        <v>226</v>
      </c>
      <c r="F35" s="19" t="s">
        <v>451</v>
      </c>
      <c r="G35" s="23" t="s">
        <v>391</v>
      </c>
      <c r="H35" s="19" t="s">
        <v>17</v>
      </c>
      <c r="I35" s="31" t="s">
        <v>202</v>
      </c>
      <c r="J35" s="22" t="s">
        <v>202</v>
      </c>
      <c r="K35" s="19" t="s">
        <v>162</v>
      </c>
      <c r="L35" s="22"/>
      <c r="M35" s="22"/>
      <c r="N35" s="19"/>
      <c r="O35" s="19"/>
      <c r="P35" s="24">
        <v>10000</v>
      </c>
      <c r="Q35" s="7"/>
      <c r="R35" s="7"/>
      <c r="S35" s="8">
        <v>0.22</v>
      </c>
      <c r="T35" s="7">
        <f>(P35+Q35)+((P35+Q35)*22%)</f>
        <v>12200</v>
      </c>
      <c r="U35" s="7"/>
      <c r="V35" s="7"/>
      <c r="W35" s="7"/>
      <c r="X35" s="5"/>
      <c r="Y35" s="5"/>
      <c r="Z35" s="24">
        <f>1735.94*2</f>
        <v>3471.88</v>
      </c>
    </row>
    <row r="36" spans="1:26" ht="47.25" x14ac:dyDescent="0.25">
      <c r="A36" s="20" t="s">
        <v>228</v>
      </c>
      <c r="B36" s="20"/>
      <c r="C36" s="21">
        <v>42928</v>
      </c>
      <c r="D36" s="19" t="s">
        <v>202</v>
      </c>
      <c r="E36" s="19" t="s">
        <v>226</v>
      </c>
      <c r="F36" s="19" t="s">
        <v>451</v>
      </c>
      <c r="G36" s="23" t="s">
        <v>392</v>
      </c>
      <c r="H36" s="19" t="s">
        <v>17</v>
      </c>
      <c r="I36" s="31" t="s">
        <v>202</v>
      </c>
      <c r="J36" s="22" t="s">
        <v>202</v>
      </c>
      <c r="K36" s="19" t="s">
        <v>163</v>
      </c>
      <c r="L36" s="22"/>
      <c r="M36" s="22"/>
      <c r="N36" s="19"/>
      <c r="O36" s="19"/>
      <c r="P36" s="24">
        <v>12769.29</v>
      </c>
      <c r="Q36" s="7"/>
      <c r="R36" s="7"/>
      <c r="S36" s="8">
        <v>0</v>
      </c>
      <c r="T36" s="7">
        <f>P36</f>
        <v>12769.29</v>
      </c>
      <c r="U36" s="7"/>
      <c r="V36" s="7"/>
      <c r="W36" s="7"/>
      <c r="X36" s="5"/>
      <c r="Y36" s="5"/>
      <c r="Z36" s="24">
        <f>P36/18*6</f>
        <v>4256.43</v>
      </c>
    </row>
    <row r="37" spans="1:26" ht="78.75" x14ac:dyDescent="0.25">
      <c r="A37" s="20" t="s">
        <v>229</v>
      </c>
      <c r="B37" s="28" t="s">
        <v>320</v>
      </c>
      <c r="C37" s="21">
        <v>42935</v>
      </c>
      <c r="D37" s="19" t="s">
        <v>164</v>
      </c>
      <c r="E37" s="19"/>
      <c r="F37" s="19" t="s">
        <v>447</v>
      </c>
      <c r="G37" s="23" t="s">
        <v>351</v>
      </c>
      <c r="H37" s="19" t="s">
        <v>17</v>
      </c>
      <c r="I37" s="31">
        <v>11</v>
      </c>
      <c r="J37" s="39" t="s">
        <v>230</v>
      </c>
      <c r="K37" s="23" t="s">
        <v>165</v>
      </c>
      <c r="L37" s="22"/>
      <c r="M37" s="22"/>
      <c r="N37" s="19"/>
      <c r="O37" s="19"/>
      <c r="P37" s="24">
        <v>7710.4</v>
      </c>
      <c r="Q37" s="7"/>
      <c r="R37" s="7"/>
      <c r="S37" s="8">
        <v>0.22</v>
      </c>
      <c r="T37" s="7">
        <f t="shared" ref="T37:T49" si="4">(P37+Q37)+((P37+Q37)*22%)</f>
        <v>9406.6880000000001</v>
      </c>
      <c r="U37" s="7"/>
      <c r="V37" s="7"/>
      <c r="W37" s="7"/>
      <c r="X37" s="5"/>
      <c r="Y37" s="5"/>
      <c r="Z37" s="24">
        <f>P37</f>
        <v>7710.4</v>
      </c>
    </row>
    <row r="38" spans="1:26" ht="78.75" x14ac:dyDescent="0.25">
      <c r="A38" s="20" t="s">
        <v>231</v>
      </c>
      <c r="B38" s="20" t="s">
        <v>321</v>
      </c>
      <c r="C38" s="21">
        <v>42935</v>
      </c>
      <c r="D38" s="19" t="s">
        <v>166</v>
      </c>
      <c r="E38" s="19"/>
      <c r="F38" s="19" t="s">
        <v>447</v>
      </c>
      <c r="G38" s="23" t="s">
        <v>168</v>
      </c>
      <c r="H38" s="19" t="s">
        <v>17</v>
      </c>
      <c r="I38" s="31">
        <v>5</v>
      </c>
      <c r="J38" s="23" t="s">
        <v>232</v>
      </c>
      <c r="K38" s="19" t="s">
        <v>167</v>
      </c>
      <c r="L38" s="22"/>
      <c r="M38" s="22"/>
      <c r="N38" s="19"/>
      <c r="O38" s="19"/>
      <c r="P38" s="24">
        <v>1248</v>
      </c>
      <c r="Q38" s="7"/>
      <c r="R38" s="7"/>
      <c r="S38" s="8">
        <v>0.22</v>
      </c>
      <c r="T38" s="7">
        <f t="shared" si="4"/>
        <v>1522.56</v>
      </c>
      <c r="U38" s="7"/>
      <c r="V38" s="7"/>
      <c r="W38" s="7"/>
      <c r="X38" s="5"/>
      <c r="Y38" s="5"/>
      <c r="Z38" s="24">
        <f>P38</f>
        <v>1248</v>
      </c>
    </row>
    <row r="39" spans="1:26" ht="47.25" x14ac:dyDescent="0.25">
      <c r="A39" s="20" t="s">
        <v>233</v>
      </c>
      <c r="B39" s="20"/>
      <c r="C39" s="21">
        <v>42942</v>
      </c>
      <c r="D39" s="19" t="s">
        <v>170</v>
      </c>
      <c r="E39" s="19" t="s">
        <v>171</v>
      </c>
      <c r="F39" s="19" t="s">
        <v>447</v>
      </c>
      <c r="G39" s="23" t="s">
        <v>169</v>
      </c>
      <c r="H39" s="19" t="s">
        <v>17</v>
      </c>
      <c r="I39" s="31">
        <v>3</v>
      </c>
      <c r="J39" s="23" t="s">
        <v>234</v>
      </c>
      <c r="K39" s="19" t="s">
        <v>172</v>
      </c>
      <c r="L39" s="22"/>
      <c r="M39" s="22"/>
      <c r="N39" s="19"/>
      <c r="O39" s="19"/>
      <c r="P39" s="24">
        <f>20111.1+8411.81</f>
        <v>28522.909999999996</v>
      </c>
      <c r="Q39" s="7"/>
      <c r="R39" s="7"/>
      <c r="S39" s="8">
        <v>0.22</v>
      </c>
      <c r="T39" s="7">
        <f t="shared" si="4"/>
        <v>34797.950199999992</v>
      </c>
      <c r="U39" s="7"/>
      <c r="V39" s="7"/>
      <c r="W39" s="7"/>
      <c r="X39" s="5"/>
      <c r="Y39" s="5"/>
      <c r="Z39" s="24">
        <v>28522.81</v>
      </c>
    </row>
    <row r="40" spans="1:26" ht="15.75" x14ac:dyDescent="0.25">
      <c r="A40" s="20" t="s">
        <v>236</v>
      </c>
      <c r="B40" s="20" t="s">
        <v>322</v>
      </c>
      <c r="C40" s="21">
        <v>42942</v>
      </c>
      <c r="D40" s="19" t="s">
        <v>173</v>
      </c>
      <c r="E40" s="19" t="s">
        <v>226</v>
      </c>
      <c r="F40" s="19" t="s">
        <v>451</v>
      </c>
      <c r="G40" s="23" t="s">
        <v>176</v>
      </c>
      <c r="H40" s="19" t="s">
        <v>17</v>
      </c>
      <c r="I40" s="31"/>
      <c r="J40" s="23"/>
      <c r="K40" s="19" t="s">
        <v>235</v>
      </c>
      <c r="L40" s="22"/>
      <c r="M40" s="22"/>
      <c r="N40" s="19"/>
      <c r="O40" s="19"/>
      <c r="P40" s="24">
        <v>10800</v>
      </c>
      <c r="Q40" s="7"/>
      <c r="R40" s="7"/>
      <c r="S40" s="8">
        <v>0.22</v>
      </c>
      <c r="T40" s="7">
        <f t="shared" si="4"/>
        <v>13176</v>
      </c>
      <c r="U40" s="7"/>
      <c r="V40" s="7"/>
      <c r="W40" s="7"/>
      <c r="X40" s="5"/>
      <c r="Y40" s="5"/>
      <c r="Z40" s="24">
        <v>0</v>
      </c>
    </row>
    <row r="41" spans="1:26" ht="31.5" x14ac:dyDescent="0.25">
      <c r="A41" s="20" t="s">
        <v>237</v>
      </c>
      <c r="B41" s="20" t="s">
        <v>324</v>
      </c>
      <c r="C41" s="21">
        <v>42944</v>
      </c>
      <c r="D41" s="19" t="s">
        <v>174</v>
      </c>
      <c r="E41" s="19"/>
      <c r="F41" s="19" t="s">
        <v>445</v>
      </c>
      <c r="G41" s="23" t="s">
        <v>175</v>
      </c>
      <c r="H41" s="19" t="s">
        <v>17</v>
      </c>
      <c r="I41" s="31">
        <v>1</v>
      </c>
      <c r="J41" s="23"/>
      <c r="K41" s="19" t="s">
        <v>200</v>
      </c>
      <c r="L41" s="22"/>
      <c r="M41" s="22"/>
      <c r="N41" s="19"/>
      <c r="O41" s="19"/>
      <c r="P41" s="24">
        <v>1248</v>
      </c>
      <c r="Q41" s="7">
        <f>P41*0.04+(P41*0.15)</f>
        <v>237.12</v>
      </c>
      <c r="R41" s="7"/>
      <c r="S41" s="8">
        <v>0.22</v>
      </c>
      <c r="T41" s="7">
        <f t="shared" si="4"/>
        <v>1811.8463999999999</v>
      </c>
      <c r="U41" s="7"/>
      <c r="V41" s="7"/>
      <c r="W41" s="7"/>
      <c r="X41" s="5"/>
      <c r="Y41" s="5"/>
      <c r="Z41" s="24">
        <f>P41</f>
        <v>1248</v>
      </c>
    </row>
    <row r="42" spans="1:26" ht="15.75" x14ac:dyDescent="0.25">
      <c r="A42" s="20" t="s">
        <v>238</v>
      </c>
      <c r="B42" s="20" t="s">
        <v>325</v>
      </c>
      <c r="C42" s="21">
        <v>42944</v>
      </c>
      <c r="D42" s="19" t="s">
        <v>177</v>
      </c>
      <c r="E42" s="19"/>
      <c r="F42" s="19" t="s">
        <v>465</v>
      </c>
      <c r="G42" s="23" t="s">
        <v>178</v>
      </c>
      <c r="H42" s="19" t="s">
        <v>17</v>
      </c>
      <c r="I42" s="31">
        <v>1</v>
      </c>
      <c r="J42" s="23"/>
      <c r="K42" s="19" t="s">
        <v>440</v>
      </c>
      <c r="L42" s="22"/>
      <c r="M42" s="22"/>
      <c r="N42" s="19"/>
      <c r="O42" s="19"/>
      <c r="P42" s="24">
        <f>22500+900</f>
        <v>23400</v>
      </c>
      <c r="Q42" s="7">
        <f>P42*0.04+(P42*0.15)</f>
        <v>4446</v>
      </c>
      <c r="R42" s="7"/>
      <c r="S42" s="8">
        <v>0.22</v>
      </c>
      <c r="T42" s="7">
        <f t="shared" si="4"/>
        <v>33972.120000000003</v>
      </c>
      <c r="U42" s="7"/>
      <c r="V42" s="7"/>
      <c r="W42" s="7"/>
      <c r="X42" s="5"/>
      <c r="Y42" s="5"/>
      <c r="Z42" s="24">
        <v>0</v>
      </c>
    </row>
    <row r="43" spans="1:26" ht="31.5" x14ac:dyDescent="0.25">
      <c r="A43" s="20" t="s">
        <v>240</v>
      </c>
      <c r="B43" s="20" t="s">
        <v>326</v>
      </c>
      <c r="C43" s="21">
        <v>42947</v>
      </c>
      <c r="D43" s="23" t="s">
        <v>179</v>
      </c>
      <c r="E43" s="19"/>
      <c r="F43" s="23" t="s">
        <v>447</v>
      </c>
      <c r="G43" s="23" t="s">
        <v>370</v>
      </c>
      <c r="H43" s="19" t="s">
        <v>17</v>
      </c>
      <c r="I43" s="31">
        <v>3</v>
      </c>
      <c r="J43" s="23" t="s">
        <v>239</v>
      </c>
      <c r="K43" s="19" t="s">
        <v>180</v>
      </c>
      <c r="L43" s="22"/>
      <c r="M43" s="22"/>
      <c r="N43" s="19"/>
      <c r="O43" s="19"/>
      <c r="P43" s="24">
        <v>1500</v>
      </c>
      <c r="Q43" s="7"/>
      <c r="R43" s="7"/>
      <c r="S43" s="8">
        <v>0.22</v>
      </c>
      <c r="T43" s="7">
        <f t="shared" si="4"/>
        <v>1830</v>
      </c>
      <c r="U43" s="7"/>
      <c r="V43" s="7"/>
      <c r="W43" s="7"/>
      <c r="X43" s="5"/>
      <c r="Y43" s="5"/>
      <c r="Z43" s="24">
        <v>1500</v>
      </c>
    </row>
    <row r="44" spans="1:26" ht="15.75" x14ac:dyDescent="0.25">
      <c r="A44" s="20" t="s">
        <v>241</v>
      </c>
      <c r="B44" s="20" t="s">
        <v>327</v>
      </c>
      <c r="C44" s="21">
        <v>42990</v>
      </c>
      <c r="D44" s="19" t="s">
        <v>181</v>
      </c>
      <c r="E44" s="19"/>
      <c r="F44" s="19" t="s">
        <v>451</v>
      </c>
      <c r="G44" s="23" t="s">
        <v>371</v>
      </c>
      <c r="H44" s="19" t="s">
        <v>17</v>
      </c>
      <c r="I44" s="31">
        <v>1</v>
      </c>
      <c r="J44" s="23"/>
      <c r="K44" s="19" t="s">
        <v>182</v>
      </c>
      <c r="L44" s="22"/>
      <c r="M44" s="22"/>
      <c r="N44" s="19"/>
      <c r="O44" s="19"/>
      <c r="P44" s="24">
        <v>6000</v>
      </c>
      <c r="Q44" s="7"/>
      <c r="R44" s="7"/>
      <c r="S44" s="8">
        <v>0.22</v>
      </c>
      <c r="T44" s="7">
        <f t="shared" si="4"/>
        <v>7320</v>
      </c>
      <c r="U44" s="7"/>
      <c r="V44" s="7"/>
      <c r="W44" s="7"/>
      <c r="X44" s="5"/>
      <c r="Y44" s="5" t="s">
        <v>453</v>
      </c>
      <c r="Z44" s="24">
        <v>6000</v>
      </c>
    </row>
    <row r="45" spans="1:26" ht="15.75" x14ac:dyDescent="0.25">
      <c r="A45" s="20" t="s">
        <v>242</v>
      </c>
      <c r="B45" s="20" t="s">
        <v>328</v>
      </c>
      <c r="C45" s="21">
        <v>42992</v>
      </c>
      <c r="D45" s="19" t="s">
        <v>184</v>
      </c>
      <c r="E45" s="19"/>
      <c r="F45" s="19" t="s">
        <v>445</v>
      </c>
      <c r="G45" s="23" t="s">
        <v>372</v>
      </c>
      <c r="H45" s="19" t="s">
        <v>17</v>
      </c>
      <c r="I45" s="31">
        <v>1</v>
      </c>
      <c r="J45" s="23"/>
      <c r="K45" s="19" t="s">
        <v>183</v>
      </c>
      <c r="L45" s="22"/>
      <c r="M45" s="22"/>
      <c r="N45" s="19"/>
      <c r="O45" s="19"/>
      <c r="P45" s="24">
        <v>1040</v>
      </c>
      <c r="Q45" s="7"/>
      <c r="R45" s="7"/>
      <c r="S45" s="8">
        <v>0.22</v>
      </c>
      <c r="T45" s="7">
        <f t="shared" si="4"/>
        <v>1268.8</v>
      </c>
      <c r="U45" s="7"/>
      <c r="V45" s="7"/>
      <c r="W45" s="7"/>
      <c r="X45" s="5"/>
      <c r="Y45" s="5" t="s">
        <v>452</v>
      </c>
      <c r="Z45" s="24">
        <v>1040</v>
      </c>
    </row>
    <row r="46" spans="1:26" ht="31.5" x14ac:dyDescent="0.25">
      <c r="A46" s="20" t="s">
        <v>243</v>
      </c>
      <c r="B46" s="20" t="s">
        <v>373</v>
      </c>
      <c r="C46" s="21">
        <v>42983</v>
      </c>
      <c r="D46" s="19" t="s">
        <v>186</v>
      </c>
      <c r="E46" s="19" t="s">
        <v>187</v>
      </c>
      <c r="F46" s="19" t="s">
        <v>447</v>
      </c>
      <c r="G46" s="23" t="s">
        <v>185</v>
      </c>
      <c r="H46" s="19" t="s">
        <v>17</v>
      </c>
      <c r="I46" s="31">
        <v>3</v>
      </c>
      <c r="J46" s="23" t="s">
        <v>244</v>
      </c>
      <c r="K46" s="19" t="s">
        <v>188</v>
      </c>
      <c r="L46" s="22"/>
      <c r="M46" s="22"/>
      <c r="N46" s="19"/>
      <c r="O46" s="19"/>
      <c r="P46" s="24">
        <f>28712.7+2206.46</f>
        <v>30919.16</v>
      </c>
      <c r="Q46" s="7"/>
      <c r="R46" s="7"/>
      <c r="S46" s="8">
        <v>0.22</v>
      </c>
      <c r="T46" s="7">
        <f t="shared" si="4"/>
        <v>37721.375200000002</v>
      </c>
      <c r="U46" s="7"/>
      <c r="V46" s="7"/>
      <c r="W46" s="7"/>
      <c r="X46" s="5"/>
      <c r="Y46" s="5"/>
      <c r="Z46" s="24">
        <v>30919.16</v>
      </c>
    </row>
    <row r="47" spans="1:26" ht="15.75" x14ac:dyDescent="0.25">
      <c r="A47" s="20" t="s">
        <v>245</v>
      </c>
      <c r="B47" s="20" t="s">
        <v>329</v>
      </c>
      <c r="C47" s="21">
        <v>42998</v>
      </c>
      <c r="D47" s="19" t="s">
        <v>189</v>
      </c>
      <c r="E47" s="19"/>
      <c r="F47" s="19" t="s">
        <v>445</v>
      </c>
      <c r="G47" s="23" t="s">
        <v>191</v>
      </c>
      <c r="H47" s="19" t="s">
        <v>17</v>
      </c>
      <c r="I47" s="31">
        <v>1</v>
      </c>
      <c r="J47" s="23"/>
      <c r="K47" s="19" t="s">
        <v>190</v>
      </c>
      <c r="L47" s="22"/>
      <c r="M47" s="22"/>
      <c r="N47" s="19"/>
      <c r="O47" s="19"/>
      <c r="P47" s="24">
        <v>850</v>
      </c>
      <c r="Q47" s="7"/>
      <c r="R47" s="7"/>
      <c r="S47" s="8">
        <v>0.22</v>
      </c>
      <c r="T47" s="7">
        <f t="shared" si="4"/>
        <v>1037</v>
      </c>
      <c r="U47" s="7"/>
      <c r="V47" s="7"/>
      <c r="W47" s="7"/>
      <c r="X47" s="5"/>
      <c r="Y47" s="5"/>
      <c r="Z47" s="24">
        <v>850</v>
      </c>
    </row>
    <row r="48" spans="1:26" ht="15.75" x14ac:dyDescent="0.25">
      <c r="A48" s="20" t="s">
        <v>246</v>
      </c>
      <c r="B48" s="20" t="s">
        <v>331</v>
      </c>
      <c r="C48" s="21">
        <v>43000</v>
      </c>
      <c r="D48" s="19" t="s">
        <v>47</v>
      </c>
      <c r="E48" s="19"/>
      <c r="F48" s="19" t="s">
        <v>444</v>
      </c>
      <c r="G48" s="23" t="s">
        <v>374</v>
      </c>
      <c r="H48" s="19" t="s">
        <v>17</v>
      </c>
      <c r="I48" s="31">
        <v>1</v>
      </c>
      <c r="J48" s="23"/>
      <c r="K48" s="19" t="s">
        <v>192</v>
      </c>
      <c r="L48" s="22"/>
      <c r="M48" s="22"/>
      <c r="N48" s="19"/>
      <c r="O48" s="19"/>
      <c r="P48" s="24">
        <v>2100</v>
      </c>
      <c r="Q48" s="7"/>
      <c r="R48" s="7"/>
      <c r="S48" s="8">
        <v>0.22</v>
      </c>
      <c r="T48" s="7">
        <f t="shared" si="4"/>
        <v>2562</v>
      </c>
      <c r="U48" s="7"/>
      <c r="V48" s="7"/>
      <c r="W48" s="7"/>
      <c r="X48" s="5"/>
      <c r="Y48" s="5"/>
      <c r="Z48" s="24">
        <v>1330</v>
      </c>
    </row>
    <row r="49" spans="1:26" ht="15.75" x14ac:dyDescent="0.25">
      <c r="A49" s="20" t="s">
        <v>247</v>
      </c>
      <c r="B49" s="20" t="s">
        <v>332</v>
      </c>
      <c r="C49" s="21">
        <v>43010</v>
      </c>
      <c r="D49" s="19" t="s">
        <v>193</v>
      </c>
      <c r="E49" s="19"/>
      <c r="F49" s="19" t="s">
        <v>451</v>
      </c>
      <c r="G49" s="23" t="s">
        <v>201</v>
      </c>
      <c r="H49" s="19" t="s">
        <v>17</v>
      </c>
      <c r="I49" s="31">
        <v>1</v>
      </c>
      <c r="J49" s="23"/>
      <c r="K49" s="19" t="s">
        <v>194</v>
      </c>
      <c r="L49" s="22"/>
      <c r="M49" s="22"/>
      <c r="N49" s="19"/>
      <c r="O49" s="19"/>
      <c r="P49" s="24">
        <v>2500</v>
      </c>
      <c r="Q49" s="7"/>
      <c r="R49" s="7"/>
      <c r="S49" s="8">
        <v>0.22</v>
      </c>
      <c r="T49" s="7">
        <f t="shared" si="4"/>
        <v>3050</v>
      </c>
      <c r="U49" s="7"/>
      <c r="V49" s="7"/>
      <c r="W49" s="7"/>
      <c r="X49" s="5"/>
      <c r="Y49" s="5"/>
      <c r="Z49" s="24">
        <v>0</v>
      </c>
    </row>
    <row r="50" spans="1:26" ht="47.25" x14ac:dyDescent="0.25">
      <c r="A50" s="20" t="s">
        <v>248</v>
      </c>
      <c r="B50" s="20" t="s">
        <v>323</v>
      </c>
      <c r="C50" s="21">
        <v>43010</v>
      </c>
      <c r="D50" s="19" t="s">
        <v>195</v>
      </c>
      <c r="E50" s="19"/>
      <c r="F50" s="19" t="s">
        <v>447</v>
      </c>
      <c r="G50" s="23" t="s">
        <v>466</v>
      </c>
      <c r="H50" s="19" t="s">
        <v>17</v>
      </c>
      <c r="I50" s="31">
        <v>1</v>
      </c>
      <c r="J50" s="23"/>
      <c r="K50" s="19" t="s">
        <v>435</v>
      </c>
      <c r="L50" s="22"/>
      <c r="M50" s="22"/>
      <c r="N50" s="19"/>
      <c r="O50" s="19"/>
      <c r="P50" s="24">
        <v>30000</v>
      </c>
      <c r="Q50" s="7">
        <f>P50*0.04</f>
        <v>1200</v>
      </c>
      <c r="R50" s="7"/>
      <c r="S50" s="7" t="s">
        <v>196</v>
      </c>
      <c r="T50" s="7">
        <f>(P50+Q50)</f>
        <v>31200</v>
      </c>
      <c r="U50" s="7"/>
      <c r="V50" s="7"/>
      <c r="W50" s="7"/>
      <c r="X50" s="5"/>
      <c r="Y50" s="5"/>
      <c r="Z50" s="24">
        <f>2500+7500</f>
        <v>10000</v>
      </c>
    </row>
    <row r="51" spans="1:26" ht="47.25" x14ac:dyDescent="0.25">
      <c r="A51" s="20" t="s">
        <v>249</v>
      </c>
      <c r="B51" s="20" t="s">
        <v>333</v>
      </c>
      <c r="C51" s="21">
        <v>43010</v>
      </c>
      <c r="D51" s="19" t="s">
        <v>197</v>
      </c>
      <c r="E51" s="19"/>
      <c r="F51" s="19" t="s">
        <v>451</v>
      </c>
      <c r="G51" s="23" t="s">
        <v>375</v>
      </c>
      <c r="H51" s="19" t="s">
        <v>17</v>
      </c>
      <c r="I51" s="31">
        <v>1</v>
      </c>
      <c r="J51" s="23"/>
      <c r="K51" s="19" t="s">
        <v>198</v>
      </c>
      <c r="L51" s="22"/>
      <c r="M51" s="22"/>
      <c r="N51" s="19"/>
      <c r="O51" s="19"/>
      <c r="P51" s="24">
        <f>950+38</f>
        <v>988</v>
      </c>
      <c r="Q51" s="7">
        <f>P51*0.04</f>
        <v>39.520000000000003</v>
      </c>
      <c r="R51" s="7"/>
      <c r="S51" s="8">
        <v>0.22</v>
      </c>
      <c r="T51" s="7">
        <f>(P51+Q51)+((P51+Q51)*22%)</f>
        <v>1253.5744</v>
      </c>
      <c r="U51" s="7"/>
      <c r="V51" s="7"/>
      <c r="W51" s="7"/>
      <c r="X51" s="5"/>
      <c r="Y51" s="5"/>
      <c r="Z51" s="24">
        <v>988</v>
      </c>
    </row>
    <row r="52" spans="1:26" ht="31.5" x14ac:dyDescent="0.25">
      <c r="A52" s="20" t="s">
        <v>252</v>
      </c>
      <c r="B52" s="20"/>
      <c r="C52" s="21">
        <v>43012</v>
      </c>
      <c r="D52" s="19" t="s">
        <v>251</v>
      </c>
      <c r="E52" s="19" t="s">
        <v>250</v>
      </c>
      <c r="F52" s="19" t="s">
        <v>447</v>
      </c>
      <c r="G52" s="23" t="s">
        <v>378</v>
      </c>
      <c r="H52" s="19" t="s">
        <v>376</v>
      </c>
      <c r="I52" s="31">
        <v>10</v>
      </c>
      <c r="J52" s="29" t="s">
        <v>49</v>
      </c>
      <c r="K52" s="30" t="s">
        <v>49</v>
      </c>
      <c r="L52" s="22"/>
      <c r="M52" s="22"/>
      <c r="N52" s="19"/>
      <c r="O52" s="19"/>
      <c r="P52" s="24">
        <v>131230.39000000001</v>
      </c>
      <c r="Q52" s="7"/>
      <c r="R52" s="7"/>
      <c r="S52" s="8">
        <v>0.22</v>
      </c>
      <c r="T52" s="7">
        <f>(P52+Q52)+((P52+Q52)*22%)</f>
        <v>160101.07580000002</v>
      </c>
      <c r="U52" s="7"/>
      <c r="V52" s="7"/>
      <c r="W52" s="7"/>
      <c r="X52" s="5"/>
      <c r="Y52" s="5"/>
      <c r="Z52" s="24">
        <v>0</v>
      </c>
    </row>
    <row r="53" spans="1:26" ht="47.25" x14ac:dyDescent="0.25">
      <c r="A53" s="20" t="s">
        <v>253</v>
      </c>
      <c r="B53" s="20" t="s">
        <v>335</v>
      </c>
      <c r="C53" s="21">
        <v>43014</v>
      </c>
      <c r="D53" s="19" t="s">
        <v>199</v>
      </c>
      <c r="E53" s="19"/>
      <c r="F53" s="19" t="s">
        <v>445</v>
      </c>
      <c r="G53" s="23" t="s">
        <v>377</v>
      </c>
      <c r="H53" s="19" t="s">
        <v>17</v>
      </c>
      <c r="I53" s="31">
        <v>1</v>
      </c>
      <c r="J53" s="23"/>
      <c r="K53" s="19" t="s">
        <v>200</v>
      </c>
      <c r="L53" s="22"/>
      <c r="M53" s="22"/>
      <c r="N53" s="19"/>
      <c r="O53" s="19"/>
      <c r="P53" s="24">
        <v>832</v>
      </c>
      <c r="Q53" s="7">
        <f>+P53*0.04</f>
        <v>33.28</v>
      </c>
      <c r="R53" s="7"/>
      <c r="S53" s="8">
        <v>0.22</v>
      </c>
      <c r="T53" s="7">
        <f>(P53+Q53)+((P53+Q53)*22%)</f>
        <v>1055.6415999999999</v>
      </c>
      <c r="U53" s="7"/>
      <c r="V53" s="7"/>
      <c r="W53" s="7"/>
      <c r="X53" s="5"/>
      <c r="Y53" s="5"/>
      <c r="Z53" s="24">
        <v>0</v>
      </c>
    </row>
    <row r="54" spans="1:26" ht="31.5" x14ac:dyDescent="0.25">
      <c r="A54" s="20" t="s">
        <v>254</v>
      </c>
      <c r="B54" s="20" t="s">
        <v>334</v>
      </c>
      <c r="C54" s="21">
        <v>43019</v>
      </c>
      <c r="D54" s="19" t="s">
        <v>255</v>
      </c>
      <c r="E54" s="19"/>
      <c r="F54" s="19" t="s">
        <v>447</v>
      </c>
      <c r="G54" s="23" t="s">
        <v>380</v>
      </c>
      <c r="H54" s="19" t="s">
        <v>17</v>
      </c>
      <c r="I54" s="31">
        <v>1</v>
      </c>
      <c r="J54" s="23"/>
      <c r="K54" s="19" t="s">
        <v>436</v>
      </c>
      <c r="L54" s="22"/>
      <c r="M54" s="22"/>
      <c r="N54" s="19"/>
      <c r="O54" s="19"/>
      <c r="P54" s="24">
        <f>5874+293</f>
        <v>6167</v>
      </c>
      <c r="Q54" s="7">
        <v>293.7</v>
      </c>
      <c r="R54" s="7"/>
      <c r="S54" s="8">
        <v>0.22</v>
      </c>
      <c r="T54" s="7">
        <f>(P54+Q54)+((P54+Q54)*22%)</f>
        <v>7882.0540000000001</v>
      </c>
      <c r="U54" s="7"/>
      <c r="V54" s="7"/>
      <c r="W54" s="7"/>
      <c r="X54" s="5"/>
      <c r="Y54" s="5"/>
      <c r="Z54" s="24">
        <v>0</v>
      </c>
    </row>
    <row r="55" spans="1:26" ht="47.25" x14ac:dyDescent="0.25">
      <c r="A55" s="20" t="s">
        <v>256</v>
      </c>
      <c r="B55" s="20" t="s">
        <v>336</v>
      </c>
      <c r="C55" s="21">
        <v>43024</v>
      </c>
      <c r="D55" s="19" t="s">
        <v>259</v>
      </c>
      <c r="E55" s="19"/>
      <c r="F55" s="19" t="s">
        <v>447</v>
      </c>
      <c r="G55" s="23" t="s">
        <v>381</v>
      </c>
      <c r="H55" s="19" t="s">
        <v>17</v>
      </c>
      <c r="I55" s="31">
        <v>5</v>
      </c>
      <c r="J55" s="23" t="s">
        <v>383</v>
      </c>
      <c r="K55" s="19" t="s">
        <v>257</v>
      </c>
      <c r="L55" s="22" t="s">
        <v>18</v>
      </c>
      <c r="M55" s="22" t="s">
        <v>9</v>
      </c>
      <c r="N55" s="19" t="s">
        <v>18</v>
      </c>
      <c r="O55" s="19" t="s">
        <v>9</v>
      </c>
      <c r="P55" s="24">
        <v>1075</v>
      </c>
      <c r="Q55" s="7"/>
      <c r="R55" s="7">
        <v>43</v>
      </c>
      <c r="S55" s="8"/>
      <c r="T55" s="7">
        <f>(P55+Q55+R55)+2</f>
        <v>1120</v>
      </c>
      <c r="U55" s="7"/>
      <c r="V55" s="7"/>
      <c r="W55" s="7"/>
      <c r="X55" s="5"/>
      <c r="Y55" s="5"/>
      <c r="Z55" s="24">
        <v>1075</v>
      </c>
    </row>
    <row r="56" spans="1:26" ht="47.25" x14ac:dyDescent="0.25">
      <c r="A56" s="20" t="s">
        <v>256</v>
      </c>
      <c r="B56" s="20" t="s">
        <v>337</v>
      </c>
      <c r="C56" s="21">
        <v>43024</v>
      </c>
      <c r="D56" s="19" t="s">
        <v>260</v>
      </c>
      <c r="E56" s="19"/>
      <c r="F56" s="19" t="s">
        <v>447</v>
      </c>
      <c r="G56" s="23" t="s">
        <v>382</v>
      </c>
      <c r="H56" s="19" t="s">
        <v>17</v>
      </c>
      <c r="I56" s="31">
        <v>5</v>
      </c>
      <c r="J56" s="23" t="s">
        <v>383</v>
      </c>
      <c r="K56" s="19" t="s">
        <v>302</v>
      </c>
      <c r="L56" s="22" t="s">
        <v>18</v>
      </c>
      <c r="M56" s="22" t="s">
        <v>18</v>
      </c>
      <c r="N56" s="19" t="s">
        <v>18</v>
      </c>
      <c r="O56" s="19" t="s">
        <v>18</v>
      </c>
      <c r="P56" s="24">
        <v>1075</v>
      </c>
      <c r="Q56" s="7">
        <f>P56*5%</f>
        <v>53.75</v>
      </c>
      <c r="R56" s="7"/>
      <c r="S56" s="8">
        <v>0.22</v>
      </c>
      <c r="T56" s="7">
        <f>(P56+Q56)+((P56+Q56)*22%)</f>
        <v>1377.075</v>
      </c>
      <c r="U56" s="7"/>
      <c r="V56" s="7"/>
      <c r="W56" s="7"/>
      <c r="X56" s="5"/>
      <c r="Y56" s="5"/>
      <c r="Z56" s="24">
        <v>1075</v>
      </c>
    </row>
    <row r="57" spans="1:26" ht="31.5" x14ac:dyDescent="0.25">
      <c r="A57" s="20" t="s">
        <v>258</v>
      </c>
      <c r="B57" s="20" t="s">
        <v>261</v>
      </c>
      <c r="C57" s="21">
        <v>43034</v>
      </c>
      <c r="D57" s="19" t="s">
        <v>265</v>
      </c>
      <c r="E57" s="19"/>
      <c r="F57" s="19" t="s">
        <v>451</v>
      </c>
      <c r="G57" s="23" t="s">
        <v>263</v>
      </c>
      <c r="H57" s="19" t="s">
        <v>17</v>
      </c>
      <c r="I57" s="31">
        <v>1</v>
      </c>
      <c r="J57" s="23"/>
      <c r="K57" s="19" t="s">
        <v>384</v>
      </c>
      <c r="L57" s="22" t="s">
        <v>18</v>
      </c>
      <c r="M57" s="22" t="s">
        <v>9</v>
      </c>
      <c r="N57" s="19" t="s">
        <v>18</v>
      </c>
      <c r="O57" s="19" t="s">
        <v>18</v>
      </c>
      <c r="P57" s="24">
        <v>3876</v>
      </c>
      <c r="Q57" s="7">
        <f>P57*2%</f>
        <v>77.52</v>
      </c>
      <c r="R57" s="7"/>
      <c r="S57" s="8">
        <v>0.22</v>
      </c>
      <c r="T57" s="7">
        <f>(P57+Q57)+((P57+Q57)*22%)</f>
        <v>4823.2943999999998</v>
      </c>
      <c r="U57" s="7"/>
      <c r="V57" s="7"/>
      <c r="W57" s="7"/>
      <c r="X57" s="5"/>
      <c r="Y57" s="5"/>
      <c r="Z57" s="24">
        <v>3876</v>
      </c>
    </row>
    <row r="58" spans="1:26" ht="15.75" x14ac:dyDescent="0.25">
      <c r="A58" s="20" t="s">
        <v>264</v>
      </c>
      <c r="B58" s="20" t="s">
        <v>338</v>
      </c>
      <c r="C58" s="21">
        <v>43038</v>
      </c>
      <c r="D58" s="19" t="s">
        <v>266</v>
      </c>
      <c r="E58" s="19"/>
      <c r="F58" s="19" t="s">
        <v>447</v>
      </c>
      <c r="G58" s="23" t="s">
        <v>350</v>
      </c>
      <c r="H58" s="19" t="s">
        <v>17</v>
      </c>
      <c r="I58" s="31"/>
      <c r="J58" s="23"/>
      <c r="K58" s="19" t="s">
        <v>454</v>
      </c>
      <c r="L58" s="22" t="s">
        <v>18</v>
      </c>
      <c r="M58" s="22" t="s">
        <v>18</v>
      </c>
      <c r="N58" s="19" t="s">
        <v>18</v>
      </c>
      <c r="O58" s="19" t="s">
        <v>18</v>
      </c>
      <c r="P58" s="24">
        <v>800</v>
      </c>
      <c r="Q58" s="7">
        <f>P58*5%</f>
        <v>40</v>
      </c>
      <c r="R58" s="7"/>
      <c r="S58" s="8">
        <v>0.22</v>
      </c>
      <c r="T58" s="7">
        <f>(P58+Q58)+((P58+Q58)*22%)+1643</f>
        <v>2667.8</v>
      </c>
      <c r="U58" s="7"/>
      <c r="V58" s="7"/>
      <c r="W58" s="7"/>
      <c r="X58" s="5"/>
      <c r="Y58" s="5"/>
      <c r="Z58" s="24">
        <v>0</v>
      </c>
    </row>
    <row r="59" spans="1:26" ht="15.75" x14ac:dyDescent="0.25">
      <c r="A59" s="20" t="s">
        <v>267</v>
      </c>
      <c r="B59" s="20" t="s">
        <v>339</v>
      </c>
      <c r="C59" s="21">
        <v>43045</v>
      </c>
      <c r="D59" s="19" t="s">
        <v>268</v>
      </c>
      <c r="E59" s="19"/>
      <c r="F59" s="19" t="s">
        <v>444</v>
      </c>
      <c r="G59" s="23" t="s">
        <v>385</v>
      </c>
      <c r="H59" s="19" t="s">
        <v>17</v>
      </c>
      <c r="I59" s="31">
        <v>1</v>
      </c>
      <c r="J59" s="23"/>
      <c r="K59" s="19" t="s">
        <v>71</v>
      </c>
      <c r="L59" s="22" t="s">
        <v>18</v>
      </c>
      <c r="M59" s="22" t="s">
        <v>9</v>
      </c>
      <c r="N59" s="19" t="s">
        <v>18</v>
      </c>
      <c r="O59" s="19" t="s">
        <v>9</v>
      </c>
      <c r="P59" s="24">
        <v>996</v>
      </c>
      <c r="Q59" s="7"/>
      <c r="R59" s="7"/>
      <c r="S59" s="8">
        <v>0.22</v>
      </c>
      <c r="T59" s="7">
        <f>(P59+Q59)+((P59+Q59)*22%)</f>
        <v>1215.1199999999999</v>
      </c>
      <c r="U59" s="7"/>
      <c r="V59" s="7"/>
      <c r="W59" s="7"/>
      <c r="X59" s="5"/>
      <c r="Y59" s="5"/>
      <c r="Z59" s="24">
        <v>996</v>
      </c>
    </row>
    <row r="60" spans="1:26" ht="15.75" x14ac:dyDescent="0.25">
      <c r="A60" s="20" t="s">
        <v>269</v>
      </c>
      <c r="B60" s="20" t="s">
        <v>340</v>
      </c>
      <c r="C60" s="21">
        <v>43048</v>
      </c>
      <c r="D60" s="19" t="s">
        <v>270</v>
      </c>
      <c r="E60" s="19"/>
      <c r="F60" s="19" t="s">
        <v>447</v>
      </c>
      <c r="G60" s="23" t="s">
        <v>386</v>
      </c>
      <c r="H60" s="19" t="s">
        <v>17</v>
      </c>
      <c r="I60" s="31">
        <v>1</v>
      </c>
      <c r="J60" s="23"/>
      <c r="K60" s="19" t="s">
        <v>437</v>
      </c>
      <c r="L60" s="22" t="s">
        <v>18</v>
      </c>
      <c r="M60" s="22" t="s">
        <v>18</v>
      </c>
      <c r="N60" s="19" t="s">
        <v>18</v>
      </c>
      <c r="O60" s="19" t="s">
        <v>9</v>
      </c>
      <c r="P60" s="24">
        <f>12395+495.8</f>
        <v>12890.8</v>
      </c>
      <c r="Q60" s="7">
        <f>P60*4%</f>
        <v>515.63199999999995</v>
      </c>
      <c r="R60" s="7"/>
      <c r="S60" s="8">
        <v>0.22</v>
      </c>
      <c r="T60" s="7">
        <f>(P60+Q60)+((P60+Q60)*22%)</f>
        <v>16355.847039999999</v>
      </c>
      <c r="U60" s="7"/>
      <c r="V60" s="7"/>
      <c r="W60" s="7"/>
      <c r="X60" s="5"/>
      <c r="Y60" s="5"/>
      <c r="Z60" s="24">
        <v>3140</v>
      </c>
    </row>
    <row r="61" spans="1:26" ht="31.5" x14ac:dyDescent="0.25">
      <c r="A61" s="20" t="s">
        <v>271</v>
      </c>
      <c r="B61" s="20"/>
      <c r="C61" s="21">
        <v>43049</v>
      </c>
      <c r="D61" s="19" t="s">
        <v>272</v>
      </c>
      <c r="E61" s="19"/>
      <c r="F61" s="19" t="s">
        <v>447</v>
      </c>
      <c r="G61" s="23" t="s">
        <v>379</v>
      </c>
      <c r="H61" s="19" t="s">
        <v>17</v>
      </c>
      <c r="I61" s="31"/>
      <c r="J61" s="23"/>
      <c r="K61" s="19" t="s">
        <v>443</v>
      </c>
      <c r="L61" s="22" t="s">
        <v>18</v>
      </c>
      <c r="M61" s="22" t="s">
        <v>9</v>
      </c>
      <c r="N61" s="19" t="s">
        <v>18</v>
      </c>
      <c r="O61" s="19" t="s">
        <v>9</v>
      </c>
      <c r="P61" s="24">
        <f>10304.77+558.7</f>
        <v>10863.470000000001</v>
      </c>
      <c r="Q61" s="7"/>
      <c r="R61" s="7"/>
      <c r="S61" s="8">
        <v>0.22</v>
      </c>
      <c r="T61" s="7">
        <f>((P67+Q67)+(P67+Q67)*22%)</f>
        <v>1281</v>
      </c>
      <c r="U61" s="7"/>
      <c r="V61" s="7"/>
      <c r="W61" s="7"/>
      <c r="X61" s="5"/>
      <c r="Y61" s="5"/>
      <c r="Z61" s="24">
        <f>5717.18+5146.39</f>
        <v>10863.57</v>
      </c>
    </row>
    <row r="62" spans="1:26" ht="31.5" x14ac:dyDescent="0.25">
      <c r="A62" s="20" t="s">
        <v>273</v>
      </c>
      <c r="B62" s="20" t="s">
        <v>341</v>
      </c>
      <c r="C62" s="21">
        <v>43052</v>
      </c>
      <c r="D62" s="19" t="s">
        <v>274</v>
      </c>
      <c r="E62" s="19"/>
      <c r="F62" s="19" t="s">
        <v>447</v>
      </c>
      <c r="G62" s="23" t="s">
        <v>387</v>
      </c>
      <c r="H62" s="19" t="s">
        <v>17</v>
      </c>
      <c r="I62" s="31">
        <v>1</v>
      </c>
      <c r="J62" s="23"/>
      <c r="K62" s="19" t="s">
        <v>143</v>
      </c>
      <c r="L62" s="22" t="s">
        <v>18</v>
      </c>
      <c r="M62" s="22" t="s">
        <v>9</v>
      </c>
      <c r="N62" s="19" t="s">
        <v>18</v>
      </c>
      <c r="O62" s="19" t="s">
        <v>9</v>
      </c>
      <c r="P62" s="24">
        <v>2500</v>
      </c>
      <c r="Q62" s="7">
        <f>P62*4%</f>
        <v>100</v>
      </c>
      <c r="R62" s="7"/>
      <c r="S62" s="8">
        <v>0.22</v>
      </c>
      <c r="T62" s="7">
        <f>(P62+Q62)+((P62+Q62)*22%)</f>
        <v>3172</v>
      </c>
      <c r="U62" s="7"/>
      <c r="V62" s="7"/>
      <c r="W62" s="7"/>
      <c r="X62" s="5"/>
      <c r="Y62" s="5"/>
      <c r="Z62" s="24">
        <v>0</v>
      </c>
    </row>
    <row r="63" spans="1:26" ht="31.5" x14ac:dyDescent="0.25">
      <c r="A63" s="20" t="s">
        <v>275</v>
      </c>
      <c r="B63" s="20" t="s">
        <v>342</v>
      </c>
      <c r="C63" s="21">
        <v>43052</v>
      </c>
      <c r="D63" s="19" t="s">
        <v>276</v>
      </c>
      <c r="E63" s="19"/>
      <c r="F63" s="19" t="s">
        <v>447</v>
      </c>
      <c r="G63" s="23" t="s">
        <v>388</v>
      </c>
      <c r="H63" s="19" t="s">
        <v>17</v>
      </c>
      <c r="I63" s="31">
        <v>4</v>
      </c>
      <c r="J63" s="23" t="s">
        <v>277</v>
      </c>
      <c r="K63" s="19" t="s">
        <v>278</v>
      </c>
      <c r="L63" s="22" t="s">
        <v>18</v>
      </c>
      <c r="M63" s="22" t="s">
        <v>9</v>
      </c>
      <c r="N63" s="19" t="s">
        <v>18</v>
      </c>
      <c r="O63" s="19" t="s">
        <v>9</v>
      </c>
      <c r="P63" s="24">
        <v>1550</v>
      </c>
      <c r="Q63" s="7"/>
      <c r="R63" s="7"/>
      <c r="S63" s="8">
        <v>0.22</v>
      </c>
      <c r="T63" s="7">
        <f>(P63+Q63)+((P63+Q63)*22%)</f>
        <v>1891</v>
      </c>
      <c r="U63" s="7"/>
      <c r="V63" s="7"/>
      <c r="W63" s="7"/>
      <c r="X63" s="5"/>
      <c r="Y63" s="5"/>
      <c r="Z63" s="24">
        <v>1550</v>
      </c>
    </row>
    <row r="64" spans="1:26" ht="31.5" x14ac:dyDescent="0.25">
      <c r="A64" s="20" t="s">
        <v>279</v>
      </c>
      <c r="B64" s="20"/>
      <c r="C64" s="21">
        <v>43059</v>
      </c>
      <c r="D64" s="19" t="s">
        <v>280</v>
      </c>
      <c r="E64" s="19"/>
      <c r="F64" s="19" t="s">
        <v>447</v>
      </c>
      <c r="G64" s="23" t="s">
        <v>281</v>
      </c>
      <c r="H64" s="19" t="s">
        <v>17</v>
      </c>
      <c r="I64" s="31">
        <v>1</v>
      </c>
      <c r="J64" s="23"/>
      <c r="K64" s="19" t="s">
        <v>436</v>
      </c>
      <c r="L64" s="22" t="s">
        <v>18</v>
      </c>
      <c r="M64" s="22" t="s">
        <v>18</v>
      </c>
      <c r="N64" s="19" t="s">
        <v>18</v>
      </c>
      <c r="O64" s="19" t="s">
        <v>18</v>
      </c>
      <c r="P64" s="24">
        <v>4750</v>
      </c>
      <c r="Q64" s="7">
        <f>P64*5%</f>
        <v>237.5</v>
      </c>
      <c r="R64" s="7"/>
      <c r="S64" s="8">
        <v>0.22</v>
      </c>
      <c r="T64" s="7">
        <f>(P64+Q64)+((P64+Q64)*22%)</f>
        <v>6084.75</v>
      </c>
      <c r="U64" s="7"/>
      <c r="V64" s="7"/>
      <c r="W64" s="7"/>
      <c r="X64" s="5"/>
      <c r="Y64" s="5"/>
      <c r="Z64" s="24">
        <v>0</v>
      </c>
    </row>
    <row r="65" spans="1:26" ht="31.5" x14ac:dyDescent="0.25">
      <c r="A65" s="20" t="s">
        <v>282</v>
      </c>
      <c r="B65" s="20" t="s">
        <v>343</v>
      </c>
      <c r="C65" s="21">
        <v>43062</v>
      </c>
      <c r="D65" s="19" t="s">
        <v>283</v>
      </c>
      <c r="E65" s="19"/>
      <c r="F65" s="19" t="s">
        <v>444</v>
      </c>
      <c r="G65" s="23" t="s">
        <v>389</v>
      </c>
      <c r="H65" s="19" t="s">
        <v>17</v>
      </c>
      <c r="I65" s="31">
        <v>1</v>
      </c>
      <c r="J65" s="23"/>
      <c r="K65" s="19" t="s">
        <v>22</v>
      </c>
      <c r="L65" s="22" t="s">
        <v>18</v>
      </c>
      <c r="M65" s="22" t="s">
        <v>9</v>
      </c>
      <c r="N65" s="19" t="s">
        <v>18</v>
      </c>
      <c r="O65" s="19" t="s">
        <v>9</v>
      </c>
      <c r="P65" s="24">
        <v>230</v>
      </c>
      <c r="Q65" s="7">
        <v>0</v>
      </c>
      <c r="R65" s="7"/>
      <c r="S65" s="8">
        <v>0.22</v>
      </c>
      <c r="T65" s="7">
        <f>(P65+Q65)+((P65+Q65)*22%)</f>
        <v>280.60000000000002</v>
      </c>
      <c r="U65" s="7"/>
      <c r="V65" s="7"/>
      <c r="W65" s="7"/>
      <c r="X65" s="5"/>
      <c r="Y65" s="5"/>
      <c r="Z65" s="24">
        <v>230</v>
      </c>
    </row>
    <row r="66" spans="1:26" ht="47.25" x14ac:dyDescent="0.25">
      <c r="A66" s="20" t="s">
        <v>284</v>
      </c>
      <c r="B66" s="20"/>
      <c r="C66" s="21">
        <v>43069</v>
      </c>
      <c r="D66" s="19" t="s">
        <v>49</v>
      </c>
      <c r="E66" s="19" t="s">
        <v>49</v>
      </c>
      <c r="F66" s="19" t="s">
        <v>451</v>
      </c>
      <c r="G66" s="23" t="s">
        <v>393</v>
      </c>
      <c r="H66" s="19" t="s">
        <v>17</v>
      </c>
      <c r="I66" s="31">
        <v>1</v>
      </c>
      <c r="J66" s="23"/>
      <c r="K66" s="19" t="s">
        <v>285</v>
      </c>
      <c r="L66" s="22" t="s">
        <v>9</v>
      </c>
      <c r="M66" s="22" t="s">
        <v>9</v>
      </c>
      <c r="N66" s="19" t="s">
        <v>18</v>
      </c>
      <c r="O66" s="19" t="s">
        <v>9</v>
      </c>
      <c r="P66" s="24">
        <v>12769.29</v>
      </c>
      <c r="Q66" s="7">
        <v>0</v>
      </c>
      <c r="R66" s="7">
        <v>0</v>
      </c>
      <c r="S66" s="8">
        <v>0</v>
      </c>
      <c r="T66" s="7">
        <f>P66</f>
        <v>12769.29</v>
      </c>
      <c r="U66" s="7"/>
      <c r="V66" s="7"/>
      <c r="W66" s="7"/>
      <c r="X66" s="5"/>
      <c r="Y66" s="5"/>
      <c r="Z66" s="24">
        <f>769.23+352.56</f>
        <v>1121.79</v>
      </c>
    </row>
    <row r="67" spans="1:26" ht="15.75" x14ac:dyDescent="0.25">
      <c r="A67" s="20" t="s">
        <v>286</v>
      </c>
      <c r="B67" s="20" t="s">
        <v>344</v>
      </c>
      <c r="C67" s="21">
        <v>43069</v>
      </c>
      <c r="D67" s="19" t="s">
        <v>43</v>
      </c>
      <c r="E67" s="19"/>
      <c r="F67" s="19" t="s">
        <v>444</v>
      </c>
      <c r="G67" s="23" t="s">
        <v>394</v>
      </c>
      <c r="H67" s="19" t="s">
        <v>17</v>
      </c>
      <c r="I67" s="31">
        <v>1</v>
      </c>
      <c r="J67" s="23"/>
      <c r="K67" s="19" t="s">
        <v>294</v>
      </c>
      <c r="L67" s="22" t="s">
        <v>18</v>
      </c>
      <c r="M67" s="22" t="s">
        <v>9</v>
      </c>
      <c r="N67" s="19" t="s">
        <v>18</v>
      </c>
      <c r="O67" s="19" t="s">
        <v>9</v>
      </c>
      <c r="P67" s="24">
        <v>1050</v>
      </c>
      <c r="Q67" s="7"/>
      <c r="R67" s="7"/>
      <c r="S67" s="8">
        <v>0.22</v>
      </c>
      <c r="T67" s="7">
        <f>(P67+Q67)+((P67+Q67)*22%)</f>
        <v>1281</v>
      </c>
      <c r="U67" s="7"/>
      <c r="V67" s="7"/>
      <c r="W67" s="7"/>
      <c r="X67" s="5"/>
      <c r="Y67" s="5"/>
      <c r="Z67" s="24">
        <f>P67-134</f>
        <v>916</v>
      </c>
    </row>
    <row r="68" spans="1:26" ht="31.5" x14ac:dyDescent="0.25">
      <c r="A68" s="20" t="s">
        <v>287</v>
      </c>
      <c r="B68" s="20"/>
      <c r="C68" s="21">
        <v>43069</v>
      </c>
      <c r="D68" s="19" t="s">
        <v>288</v>
      </c>
      <c r="E68" s="19"/>
      <c r="F68" s="19" t="s">
        <v>445</v>
      </c>
      <c r="G68" s="23" t="s">
        <v>290</v>
      </c>
      <c r="H68" s="19" t="s">
        <v>17</v>
      </c>
      <c r="I68" s="31">
        <v>1</v>
      </c>
      <c r="J68" s="23"/>
      <c r="K68" s="19" t="s">
        <v>289</v>
      </c>
      <c r="L68" s="22" t="s">
        <v>18</v>
      </c>
      <c r="M68" s="22" t="s">
        <v>9</v>
      </c>
      <c r="N68" s="19" t="s">
        <v>18</v>
      </c>
      <c r="O68" s="19" t="s">
        <v>9</v>
      </c>
      <c r="P68" s="24">
        <f>13500+7500+7500+1425</f>
        <v>29925</v>
      </c>
      <c r="Q68" s="7"/>
      <c r="R68" s="7"/>
      <c r="S68" s="8">
        <v>0.22</v>
      </c>
      <c r="T68" s="7">
        <f>(P68+Q68)+((P68+Q68)*22%)</f>
        <v>36508.5</v>
      </c>
      <c r="U68" s="7"/>
      <c r="V68" s="7"/>
      <c r="W68" s="7"/>
      <c r="X68" s="5"/>
      <c r="Y68" s="5"/>
      <c r="Z68" s="24">
        <v>0</v>
      </c>
    </row>
    <row r="69" spans="1:26" ht="31.5" x14ac:dyDescent="0.25">
      <c r="A69" s="20" t="s">
        <v>291</v>
      </c>
      <c r="B69" s="20" t="s">
        <v>345</v>
      </c>
      <c r="C69" s="21">
        <v>43074</v>
      </c>
      <c r="D69" s="19" t="s">
        <v>292</v>
      </c>
      <c r="E69" s="19"/>
      <c r="F69" s="19" t="s">
        <v>444</v>
      </c>
      <c r="G69" s="23" t="s">
        <v>395</v>
      </c>
      <c r="H69" s="19" t="s">
        <v>17</v>
      </c>
      <c r="I69" s="31" t="s">
        <v>293</v>
      </c>
      <c r="J69" s="23"/>
      <c r="K69" s="19" t="s">
        <v>294</v>
      </c>
      <c r="L69" s="22" t="s">
        <v>18</v>
      </c>
      <c r="M69" s="22" t="s">
        <v>9</v>
      </c>
      <c r="N69" s="19" t="s">
        <v>18</v>
      </c>
      <c r="O69" s="19" t="s">
        <v>9</v>
      </c>
      <c r="P69" s="24">
        <v>6380</v>
      </c>
      <c r="Q69" s="7"/>
      <c r="R69" s="7"/>
      <c r="S69" s="8">
        <v>0.22</v>
      </c>
      <c r="T69" s="7">
        <f>(P69+Q69)+((P69+Q69)*22%)</f>
        <v>7783.6</v>
      </c>
      <c r="U69" s="7"/>
      <c r="V69" s="7"/>
      <c r="W69" s="7"/>
      <c r="X69" s="5"/>
      <c r="Y69" s="5"/>
      <c r="Z69" s="24">
        <v>6380</v>
      </c>
    </row>
    <row r="70" spans="1:26" ht="15.75" x14ac:dyDescent="0.25">
      <c r="A70" s="20" t="s">
        <v>295</v>
      </c>
      <c r="B70" s="20" t="s">
        <v>346</v>
      </c>
      <c r="C70" s="21">
        <v>43074</v>
      </c>
      <c r="D70" s="19" t="s">
        <v>296</v>
      </c>
      <c r="E70" s="19"/>
      <c r="F70" s="19" t="s">
        <v>445</v>
      </c>
      <c r="G70" s="23" t="s">
        <v>297</v>
      </c>
      <c r="H70" s="19" t="s">
        <v>17</v>
      </c>
      <c r="I70" s="31">
        <v>1</v>
      </c>
      <c r="J70" s="23"/>
      <c r="K70" s="19" t="s">
        <v>183</v>
      </c>
      <c r="L70" s="22" t="s">
        <v>18</v>
      </c>
      <c r="M70" s="22" t="s">
        <v>18</v>
      </c>
      <c r="N70" s="19" t="s">
        <v>18</v>
      </c>
      <c r="O70" s="19" t="s">
        <v>18</v>
      </c>
      <c r="P70" s="24">
        <v>5000</v>
      </c>
      <c r="Q70" s="7">
        <f>P70*4%</f>
        <v>200</v>
      </c>
      <c r="R70" s="7"/>
      <c r="S70" s="8">
        <v>0.22</v>
      </c>
      <c r="T70" s="7">
        <f>(P70+Q70)+(P70+Q70)*22%</f>
        <v>6344</v>
      </c>
      <c r="U70" s="7"/>
      <c r="V70" s="7"/>
      <c r="W70" s="7"/>
      <c r="X70" s="5"/>
      <c r="Y70" s="5"/>
      <c r="Z70" s="24">
        <v>0</v>
      </c>
    </row>
    <row r="71" spans="1:26" ht="15.75" x14ac:dyDescent="0.25">
      <c r="A71" s="20" t="s">
        <v>298</v>
      </c>
      <c r="B71" s="20"/>
      <c r="C71" s="21">
        <v>43080</v>
      </c>
      <c r="D71" s="19" t="s">
        <v>299</v>
      </c>
      <c r="E71" s="19"/>
      <c r="F71" s="19" t="s">
        <v>447</v>
      </c>
      <c r="G71" s="23" t="s">
        <v>300</v>
      </c>
      <c r="H71" s="19" t="s">
        <v>17</v>
      </c>
      <c r="I71" s="31"/>
      <c r="J71" s="23"/>
      <c r="K71" s="19" t="s">
        <v>257</v>
      </c>
      <c r="L71" s="22" t="s">
        <v>18</v>
      </c>
      <c r="M71" s="22" t="s">
        <v>9</v>
      </c>
      <c r="N71" s="19" t="s">
        <v>18</v>
      </c>
      <c r="O71" s="19" t="s">
        <v>9</v>
      </c>
      <c r="P71" s="24">
        <v>3425</v>
      </c>
      <c r="Q71" s="7"/>
      <c r="R71" s="7">
        <f>P71*4%</f>
        <v>137</v>
      </c>
      <c r="S71" s="8">
        <v>0</v>
      </c>
      <c r="T71" s="7">
        <f>P71+R71</f>
        <v>3562</v>
      </c>
      <c r="U71" s="7"/>
      <c r="V71" s="7"/>
      <c r="W71" s="7"/>
      <c r="X71" s="5"/>
      <c r="Y71" s="5"/>
      <c r="Z71" s="24">
        <v>0</v>
      </c>
    </row>
    <row r="72" spans="1:26" ht="31.5" x14ac:dyDescent="0.25">
      <c r="A72" s="20" t="s">
        <v>298</v>
      </c>
      <c r="B72" s="20"/>
      <c r="C72" s="21">
        <v>43080</v>
      </c>
      <c r="D72" s="19" t="s">
        <v>301</v>
      </c>
      <c r="E72" s="19"/>
      <c r="F72" s="19" t="s">
        <v>447</v>
      </c>
      <c r="G72" s="23" t="s">
        <v>396</v>
      </c>
      <c r="H72" s="19" t="s">
        <v>17</v>
      </c>
      <c r="I72" s="31"/>
      <c r="J72" s="23"/>
      <c r="K72" s="19" t="s">
        <v>302</v>
      </c>
      <c r="L72" s="22" t="s">
        <v>18</v>
      </c>
      <c r="M72" s="22" t="s">
        <v>9</v>
      </c>
      <c r="N72" s="19" t="s">
        <v>18</v>
      </c>
      <c r="O72" s="19" t="s">
        <v>18</v>
      </c>
      <c r="P72" s="24">
        <v>3425</v>
      </c>
      <c r="Q72" s="7">
        <f>P72*5%</f>
        <v>171.25</v>
      </c>
      <c r="R72" s="7"/>
      <c r="S72" s="8">
        <v>0.22</v>
      </c>
      <c r="T72" s="7">
        <f>(P72+Q72)+((P72+Q72)*22%)+2</f>
        <v>4389.4250000000002</v>
      </c>
      <c r="U72" s="7"/>
      <c r="V72" s="7"/>
      <c r="W72" s="7"/>
      <c r="X72" s="5"/>
      <c r="Y72" s="5"/>
      <c r="Z72" s="24">
        <v>0</v>
      </c>
    </row>
    <row r="73" spans="1:26" ht="31.5" x14ac:dyDescent="0.25">
      <c r="A73" s="20" t="s">
        <v>303</v>
      </c>
      <c r="B73" s="20" t="s">
        <v>347</v>
      </c>
      <c r="C73" s="21">
        <v>43080</v>
      </c>
      <c r="D73" s="19" t="s">
        <v>304</v>
      </c>
      <c r="E73" s="19"/>
      <c r="F73" s="19" t="s">
        <v>444</v>
      </c>
      <c r="G73" s="23" t="s">
        <v>397</v>
      </c>
      <c r="H73" s="19" t="s">
        <v>17</v>
      </c>
      <c r="I73" s="31"/>
      <c r="J73" s="23"/>
      <c r="K73" s="19" t="s">
        <v>22</v>
      </c>
      <c r="L73" s="22" t="s">
        <v>18</v>
      </c>
      <c r="M73" s="22" t="s">
        <v>9</v>
      </c>
      <c r="N73" s="19" t="s">
        <v>18</v>
      </c>
      <c r="O73" s="19" t="s">
        <v>9</v>
      </c>
      <c r="P73" s="24">
        <v>350</v>
      </c>
      <c r="Q73" s="7"/>
      <c r="R73" s="7"/>
      <c r="S73" s="8">
        <v>0.22</v>
      </c>
      <c r="T73" s="7">
        <f>(P73+Q73)+((P73+Q73)*22%)</f>
        <v>427</v>
      </c>
      <c r="U73" s="7"/>
      <c r="V73" s="7"/>
      <c r="W73" s="7"/>
      <c r="X73" s="5"/>
      <c r="Y73" s="5"/>
      <c r="Z73" s="24">
        <v>350</v>
      </c>
    </row>
    <row r="74" spans="1:26" ht="15.75" x14ac:dyDescent="0.25">
      <c r="A74" s="20" t="s">
        <v>305</v>
      </c>
      <c r="B74" s="20" t="s">
        <v>348</v>
      </c>
      <c r="C74" s="21">
        <v>43082</v>
      </c>
      <c r="D74" s="19" t="s">
        <v>306</v>
      </c>
      <c r="E74" s="19"/>
      <c r="F74" s="19" t="s">
        <v>444</v>
      </c>
      <c r="G74" s="23" t="s">
        <v>398</v>
      </c>
      <c r="H74" s="19" t="s">
        <v>17</v>
      </c>
      <c r="I74" s="31">
        <v>1</v>
      </c>
      <c r="J74" s="23"/>
      <c r="K74" s="19" t="s">
        <v>71</v>
      </c>
      <c r="L74" s="22" t="s">
        <v>18</v>
      </c>
      <c r="M74" s="22" t="s">
        <v>9</v>
      </c>
      <c r="N74" s="19" t="s">
        <v>18</v>
      </c>
      <c r="O74" s="19" t="s">
        <v>9</v>
      </c>
      <c r="P74" s="24">
        <f>1085+472</f>
        <v>1557</v>
      </c>
      <c r="Q74" s="7"/>
      <c r="R74" s="7"/>
      <c r="S74" s="8">
        <v>0.22</v>
      </c>
      <c r="T74" s="7">
        <f>(P74+Q74)+((P74+Q74)*22%)</f>
        <v>1899.54</v>
      </c>
      <c r="U74" s="7"/>
      <c r="V74" s="7"/>
      <c r="W74" s="7"/>
      <c r="X74" s="5"/>
      <c r="Y74" s="5"/>
      <c r="Z74" s="24">
        <v>1557</v>
      </c>
    </row>
    <row r="75" spans="1:26" ht="15.75" x14ac:dyDescent="0.25">
      <c r="A75" s="20" t="s">
        <v>307</v>
      </c>
      <c r="B75" s="20" t="s">
        <v>330</v>
      </c>
      <c r="C75" s="21">
        <v>43083</v>
      </c>
      <c r="D75" s="19" t="s">
        <v>308</v>
      </c>
      <c r="E75" s="19"/>
      <c r="F75" s="19" t="s">
        <v>445</v>
      </c>
      <c r="G75" s="23" t="s">
        <v>310</v>
      </c>
      <c r="H75" s="19" t="s">
        <v>17</v>
      </c>
      <c r="I75" s="31">
        <v>1</v>
      </c>
      <c r="J75" s="23"/>
      <c r="K75" s="19" t="s">
        <v>309</v>
      </c>
      <c r="L75" s="22" t="s">
        <v>18</v>
      </c>
      <c r="M75" s="22" t="s">
        <v>18</v>
      </c>
      <c r="N75" s="19" t="s">
        <v>18</v>
      </c>
      <c r="O75" s="19" t="s">
        <v>18</v>
      </c>
      <c r="P75" s="24">
        <f>570+22.8+85.5</f>
        <v>678.3</v>
      </c>
      <c r="Q75" s="7">
        <v>22.8</v>
      </c>
      <c r="R75" s="7"/>
      <c r="S75" s="8"/>
      <c r="T75" s="7">
        <f>(P75+Q75)+((P75+Q75)*22%)</f>
        <v>855.34199999999987</v>
      </c>
      <c r="U75" s="7"/>
      <c r="V75" s="7"/>
      <c r="W75" s="7"/>
      <c r="X75" s="5"/>
      <c r="Y75" s="5"/>
      <c r="Z75" s="24">
        <v>0</v>
      </c>
    </row>
    <row r="76" spans="1:26" ht="15.75" x14ac:dyDescent="0.25">
      <c r="A76" s="20" t="s">
        <v>311</v>
      </c>
      <c r="B76" s="20"/>
      <c r="C76" s="21">
        <v>43084</v>
      </c>
      <c r="D76" s="19" t="s">
        <v>312</v>
      </c>
      <c r="E76" s="19"/>
      <c r="F76" s="19" t="s">
        <v>445</v>
      </c>
      <c r="G76" s="23" t="s">
        <v>467</v>
      </c>
      <c r="H76" s="19" t="s">
        <v>17</v>
      </c>
      <c r="I76" s="31"/>
      <c r="J76" s="23"/>
      <c r="K76" s="19" t="s">
        <v>313</v>
      </c>
      <c r="L76" s="22" t="s">
        <v>18</v>
      </c>
      <c r="M76" s="22" t="s">
        <v>9</v>
      </c>
      <c r="N76" s="19" t="s">
        <v>18</v>
      </c>
      <c r="O76" s="19" t="s">
        <v>18</v>
      </c>
      <c r="P76" s="24">
        <v>36000</v>
      </c>
      <c r="Q76" s="7"/>
      <c r="R76" s="7"/>
      <c r="S76" s="8">
        <v>0.22</v>
      </c>
      <c r="T76" s="7">
        <f>(P76+Q76)+((P76+Q76)*22%)</f>
        <v>43920</v>
      </c>
      <c r="U76" s="7"/>
      <c r="V76" s="7"/>
      <c r="W76" s="7"/>
      <c r="X76" s="5"/>
      <c r="Y76" s="5"/>
      <c r="Z76" s="24">
        <v>0</v>
      </c>
    </row>
    <row r="77" spans="1:26" ht="31.5" x14ac:dyDescent="0.25">
      <c r="A77" s="19" t="s">
        <v>72</v>
      </c>
      <c r="B77" s="20" t="s">
        <v>11</v>
      </c>
      <c r="C77" s="21">
        <v>42768</v>
      </c>
      <c r="D77" s="19" t="s">
        <v>12</v>
      </c>
      <c r="E77" s="19"/>
      <c r="F77" s="19" t="s">
        <v>447</v>
      </c>
      <c r="G77" s="23" t="s">
        <v>402</v>
      </c>
      <c r="H77" s="19" t="s">
        <v>17</v>
      </c>
      <c r="I77" s="31">
        <v>3</v>
      </c>
      <c r="J77" s="23" t="s">
        <v>401</v>
      </c>
      <c r="K77" s="19" t="s">
        <v>409</v>
      </c>
      <c r="L77" s="22" t="s">
        <v>18</v>
      </c>
      <c r="M77" s="22" t="s">
        <v>9</v>
      </c>
      <c r="N77" s="22" t="s">
        <v>18</v>
      </c>
      <c r="O77" s="22" t="s">
        <v>9</v>
      </c>
      <c r="P77" s="24">
        <v>400</v>
      </c>
      <c r="Q77" s="7"/>
      <c r="R77" s="7"/>
      <c r="S77" s="8">
        <v>0.22</v>
      </c>
      <c r="T77" s="7">
        <f t="shared" ref="T77:T89" si="5">P77+(P77*S77)</f>
        <v>488</v>
      </c>
      <c r="U77" s="7"/>
      <c r="V77" s="7"/>
      <c r="W77" s="7"/>
      <c r="X77" s="5"/>
      <c r="Y77" s="5"/>
      <c r="Z77" s="24">
        <v>400</v>
      </c>
    </row>
    <row r="78" spans="1:26" ht="15.75" x14ac:dyDescent="0.25">
      <c r="A78" s="19" t="s">
        <v>73</v>
      </c>
      <c r="B78" s="20" t="s">
        <v>74</v>
      </c>
      <c r="C78" s="21">
        <v>42776</v>
      </c>
      <c r="D78" s="19" t="s">
        <v>75</v>
      </c>
      <c r="E78" s="19"/>
      <c r="F78" s="19" t="s">
        <v>433</v>
      </c>
      <c r="G78" s="23" t="s">
        <v>430</v>
      </c>
      <c r="H78" s="19" t="s">
        <v>17</v>
      </c>
      <c r="I78" s="31">
        <v>1</v>
      </c>
      <c r="J78" s="23"/>
      <c r="K78" s="19" t="s">
        <v>54</v>
      </c>
      <c r="L78" s="22" t="s">
        <v>18</v>
      </c>
      <c r="M78" s="22" t="s">
        <v>9</v>
      </c>
      <c r="N78" s="22" t="s">
        <v>18</v>
      </c>
      <c r="O78" s="22" t="s">
        <v>9</v>
      </c>
      <c r="P78" s="24">
        <v>5600</v>
      </c>
      <c r="Q78" s="7"/>
      <c r="R78" s="7"/>
      <c r="S78" s="8">
        <v>0.22</v>
      </c>
      <c r="T78" s="7">
        <f t="shared" si="5"/>
        <v>6832</v>
      </c>
      <c r="U78" s="10"/>
      <c r="V78" s="10"/>
      <c r="W78" s="11"/>
      <c r="X78" s="5"/>
      <c r="Y78" s="5"/>
      <c r="Z78" s="24">
        <f>P78/2</f>
        <v>2800</v>
      </c>
    </row>
    <row r="79" spans="1:26" ht="15.75" x14ac:dyDescent="0.25">
      <c r="A79" s="19" t="s">
        <v>76</v>
      </c>
      <c r="B79" s="20" t="s">
        <v>77</v>
      </c>
      <c r="C79" s="21">
        <v>42776</v>
      </c>
      <c r="D79" s="19" t="s">
        <v>78</v>
      </c>
      <c r="E79" s="19"/>
      <c r="F79" s="19" t="s">
        <v>433</v>
      </c>
      <c r="G79" s="23" t="s">
        <v>431</v>
      </c>
      <c r="H79" s="19" t="s">
        <v>17</v>
      </c>
      <c r="I79" s="31">
        <v>1</v>
      </c>
      <c r="J79" s="23"/>
      <c r="K79" s="19" t="s">
        <v>54</v>
      </c>
      <c r="L79" s="22" t="s">
        <v>18</v>
      </c>
      <c r="M79" s="22" t="s">
        <v>9</v>
      </c>
      <c r="N79" s="22" t="s">
        <v>18</v>
      </c>
      <c r="O79" s="22" t="s">
        <v>9</v>
      </c>
      <c r="P79" s="24">
        <v>4800</v>
      </c>
      <c r="Q79" s="7"/>
      <c r="R79" s="7"/>
      <c r="S79" s="8">
        <v>0.22</v>
      </c>
      <c r="T79" s="7">
        <f t="shared" si="5"/>
        <v>5856</v>
      </c>
      <c r="U79" s="10"/>
      <c r="V79" s="10"/>
      <c r="W79" s="11"/>
      <c r="X79" s="5"/>
      <c r="Y79" s="5"/>
      <c r="Z79" s="24">
        <f>P79/2</f>
        <v>2400</v>
      </c>
    </row>
    <row r="80" spans="1:26" ht="15.75" x14ac:dyDescent="0.25">
      <c r="A80" s="19" t="s">
        <v>79</v>
      </c>
      <c r="B80" s="20" t="s">
        <v>80</v>
      </c>
      <c r="C80" s="21">
        <v>42776</v>
      </c>
      <c r="D80" s="19" t="s">
        <v>81</v>
      </c>
      <c r="E80" s="19"/>
      <c r="F80" s="19" t="s">
        <v>447</v>
      </c>
      <c r="G80" s="23" t="s">
        <v>404</v>
      </c>
      <c r="H80" s="19" t="s">
        <v>17</v>
      </c>
      <c r="I80" s="31">
        <v>2</v>
      </c>
      <c r="J80" s="31" t="s">
        <v>403</v>
      </c>
      <c r="K80" s="19" t="s">
        <v>82</v>
      </c>
      <c r="L80" s="22" t="s">
        <v>18</v>
      </c>
      <c r="M80" s="22" t="s">
        <v>9</v>
      </c>
      <c r="N80" s="22" t="s">
        <v>18</v>
      </c>
      <c r="O80" s="22" t="s">
        <v>9</v>
      </c>
      <c r="P80" s="24">
        <v>2875</v>
      </c>
      <c r="Q80" s="7"/>
      <c r="R80" s="7"/>
      <c r="S80" s="8">
        <v>0.22</v>
      </c>
      <c r="T80" s="7">
        <f t="shared" si="5"/>
        <v>3507.5</v>
      </c>
      <c r="U80" s="10"/>
      <c r="V80" s="10"/>
      <c r="W80" s="11"/>
      <c r="X80" s="5" t="s">
        <v>83</v>
      </c>
      <c r="Y80" s="5"/>
      <c r="Z80" s="24">
        <v>2875</v>
      </c>
    </row>
    <row r="81" spans="1:26" ht="15.75" x14ac:dyDescent="0.25">
      <c r="A81" s="19" t="s">
        <v>84</v>
      </c>
      <c r="B81" s="20" t="s">
        <v>85</v>
      </c>
      <c r="C81" s="21"/>
      <c r="D81" s="19" t="s">
        <v>86</v>
      </c>
      <c r="E81" s="19"/>
      <c r="F81" s="19" t="s">
        <v>445</v>
      </c>
      <c r="G81" s="23" t="s">
        <v>455</v>
      </c>
      <c r="H81" s="19" t="s">
        <v>17</v>
      </c>
      <c r="I81" s="31">
        <v>1</v>
      </c>
      <c r="J81" s="23"/>
      <c r="K81" s="19" t="s">
        <v>438</v>
      </c>
      <c r="L81" s="22" t="s">
        <v>18</v>
      </c>
      <c r="M81" s="22" t="s">
        <v>18</v>
      </c>
      <c r="N81" s="22" t="s">
        <v>18</v>
      </c>
      <c r="O81" s="22" t="s">
        <v>18</v>
      </c>
      <c r="P81" s="24">
        <v>1440</v>
      </c>
      <c r="Q81" s="7"/>
      <c r="R81" s="7"/>
      <c r="S81" s="8">
        <v>0.22</v>
      </c>
      <c r="T81" s="7">
        <f t="shared" si="5"/>
        <v>1756.8</v>
      </c>
      <c r="U81" s="10">
        <v>16</v>
      </c>
      <c r="V81" s="10"/>
      <c r="W81" s="11"/>
      <c r="X81" s="5"/>
      <c r="Y81" s="5"/>
      <c r="Z81" s="24">
        <v>1029.5999999999999</v>
      </c>
    </row>
    <row r="82" spans="1:26" ht="31.5" x14ac:dyDescent="0.25">
      <c r="A82" s="19" t="s">
        <v>87</v>
      </c>
      <c r="B82" s="20" t="s">
        <v>88</v>
      </c>
      <c r="C82" s="21">
        <v>42781</v>
      </c>
      <c r="D82" s="19" t="s">
        <v>89</v>
      </c>
      <c r="E82" s="19"/>
      <c r="F82" s="19" t="s">
        <v>449</v>
      </c>
      <c r="G82" s="23" t="s">
        <v>405</v>
      </c>
      <c r="H82" s="19" t="s">
        <v>17</v>
      </c>
      <c r="I82" s="31">
        <v>1</v>
      </c>
      <c r="J82" s="23"/>
      <c r="K82" s="19" t="s">
        <v>209</v>
      </c>
      <c r="L82" s="22" t="s">
        <v>18</v>
      </c>
      <c r="M82" s="22" t="s">
        <v>18</v>
      </c>
      <c r="N82" s="22" t="s">
        <v>18</v>
      </c>
      <c r="O82" s="22" t="s">
        <v>18</v>
      </c>
      <c r="P82" s="24">
        <v>832</v>
      </c>
      <c r="Q82" s="7"/>
      <c r="R82" s="7"/>
      <c r="S82" s="8">
        <v>0.22</v>
      </c>
      <c r="T82" s="7">
        <f t="shared" si="5"/>
        <v>1015.04</v>
      </c>
      <c r="U82" s="7"/>
      <c r="V82" s="7"/>
      <c r="W82" s="11"/>
      <c r="X82" s="5"/>
      <c r="Y82" s="5"/>
      <c r="Z82" s="24">
        <v>832</v>
      </c>
    </row>
    <row r="83" spans="1:26" ht="31.5" x14ac:dyDescent="0.25">
      <c r="A83" s="19" t="s">
        <v>90</v>
      </c>
      <c r="B83" s="20" t="s">
        <v>91</v>
      </c>
      <c r="C83" s="21">
        <v>42786</v>
      </c>
      <c r="D83" s="19" t="s">
        <v>92</v>
      </c>
      <c r="E83" s="19"/>
      <c r="F83" s="19" t="s">
        <v>445</v>
      </c>
      <c r="G83" s="23" t="s">
        <v>456</v>
      </c>
      <c r="H83" s="19" t="s">
        <v>17</v>
      </c>
      <c r="I83" s="31">
        <v>1</v>
      </c>
      <c r="J83" s="23"/>
      <c r="K83" s="19" t="s">
        <v>414</v>
      </c>
      <c r="L83" s="22" t="s">
        <v>18</v>
      </c>
      <c r="M83" s="22" t="s">
        <v>18</v>
      </c>
      <c r="N83" s="22" t="s">
        <v>18</v>
      </c>
      <c r="O83" s="22" t="s">
        <v>18</v>
      </c>
      <c r="P83" s="24">
        <v>15600</v>
      </c>
      <c r="Q83" s="7"/>
      <c r="R83" s="7"/>
      <c r="S83" s="8">
        <v>0.22</v>
      </c>
      <c r="T83" s="7">
        <f t="shared" si="5"/>
        <v>19032</v>
      </c>
      <c r="U83" s="10">
        <v>50</v>
      </c>
      <c r="V83" s="10">
        <f>16.5+48</f>
        <v>64.5</v>
      </c>
      <c r="W83" s="11">
        <f>U83-V83</f>
        <v>-14.5</v>
      </c>
      <c r="X83" s="5"/>
      <c r="Y83" s="5"/>
      <c r="Z83" s="24">
        <v>10088</v>
      </c>
    </row>
    <row r="84" spans="1:26" ht="31.5" x14ac:dyDescent="0.25">
      <c r="A84" s="19" t="s">
        <v>93</v>
      </c>
      <c r="B84" s="20" t="s">
        <v>94</v>
      </c>
      <c r="C84" s="21">
        <v>42786</v>
      </c>
      <c r="D84" s="19" t="s">
        <v>95</v>
      </c>
      <c r="E84" s="19"/>
      <c r="F84" s="19" t="s">
        <v>445</v>
      </c>
      <c r="G84" s="23" t="s">
        <v>434</v>
      </c>
      <c r="H84" s="19" t="s">
        <v>17</v>
      </c>
      <c r="I84" s="31">
        <v>1</v>
      </c>
      <c r="J84" s="23"/>
      <c r="K84" s="19" t="s">
        <v>439</v>
      </c>
      <c r="L84" s="22" t="s">
        <v>18</v>
      </c>
      <c r="M84" s="22" t="s">
        <v>18</v>
      </c>
      <c r="N84" s="22" t="s">
        <v>18</v>
      </c>
      <c r="O84" s="22" t="s">
        <v>18</v>
      </c>
      <c r="P84" s="24">
        <v>15000</v>
      </c>
      <c r="Q84" s="7"/>
      <c r="R84" s="7"/>
      <c r="S84" s="8">
        <v>0.22</v>
      </c>
      <c r="T84" s="7">
        <f t="shared" si="5"/>
        <v>18300</v>
      </c>
      <c r="U84" s="10">
        <v>150</v>
      </c>
      <c r="V84" s="10">
        <v>22</v>
      </c>
      <c r="W84" s="11">
        <f>U84-V84</f>
        <v>128</v>
      </c>
      <c r="X84" s="5"/>
      <c r="Y84" s="5"/>
      <c r="Z84" s="24">
        <v>15000</v>
      </c>
    </row>
    <row r="85" spans="1:26" ht="31.5" x14ac:dyDescent="0.25">
      <c r="A85" s="19" t="s">
        <v>96</v>
      </c>
      <c r="B85" s="20" t="s">
        <v>104</v>
      </c>
      <c r="C85" s="21">
        <v>42800</v>
      </c>
      <c r="D85" s="19" t="s">
        <v>97</v>
      </c>
      <c r="E85" s="19"/>
      <c r="F85" s="19" t="s">
        <v>447</v>
      </c>
      <c r="G85" s="23" t="s">
        <v>450</v>
      </c>
      <c r="H85" s="19" t="s">
        <v>17</v>
      </c>
      <c r="I85" s="31">
        <v>4</v>
      </c>
      <c r="J85" s="23" t="s">
        <v>399</v>
      </c>
      <c r="K85" s="19" t="s">
        <v>409</v>
      </c>
      <c r="L85" s="22" t="s">
        <v>18</v>
      </c>
      <c r="M85" s="22" t="s">
        <v>9</v>
      </c>
      <c r="N85" s="22" t="s">
        <v>18</v>
      </c>
      <c r="O85" s="22" t="s">
        <v>9</v>
      </c>
      <c r="P85" s="24">
        <v>480</v>
      </c>
      <c r="Q85" s="7"/>
      <c r="R85" s="7"/>
      <c r="S85" s="8">
        <v>0.22</v>
      </c>
      <c r="T85" s="7">
        <f t="shared" si="5"/>
        <v>585.6</v>
      </c>
      <c r="U85" s="7"/>
      <c r="V85" s="7"/>
      <c r="W85" s="7"/>
      <c r="X85" s="5"/>
      <c r="Y85" s="5"/>
      <c r="Z85" s="24">
        <v>480</v>
      </c>
    </row>
    <row r="86" spans="1:26" ht="47.25" x14ac:dyDescent="0.25">
      <c r="A86" s="19" t="s">
        <v>116</v>
      </c>
      <c r="B86" s="20" t="s">
        <v>118</v>
      </c>
      <c r="C86" s="21">
        <v>42832</v>
      </c>
      <c r="D86" s="19" t="s">
        <v>117</v>
      </c>
      <c r="E86" s="19"/>
      <c r="F86" s="19" t="s">
        <v>447</v>
      </c>
      <c r="G86" s="23" t="s">
        <v>349</v>
      </c>
      <c r="H86" s="19" t="s">
        <v>17</v>
      </c>
      <c r="I86" s="31">
        <v>4</v>
      </c>
      <c r="J86" s="31" t="s">
        <v>407</v>
      </c>
      <c r="K86" s="19" t="s">
        <v>442</v>
      </c>
      <c r="L86" s="22" t="s">
        <v>18</v>
      </c>
      <c r="M86" s="22" t="s">
        <v>18</v>
      </c>
      <c r="N86" s="22" t="s">
        <v>18</v>
      </c>
      <c r="O86" s="22" t="s">
        <v>18</v>
      </c>
      <c r="P86" s="24">
        <v>5328.96</v>
      </c>
      <c r="Q86" s="7"/>
      <c r="R86" s="7"/>
      <c r="S86" s="8">
        <v>0.22</v>
      </c>
      <c r="T86" s="7">
        <f t="shared" si="5"/>
        <v>6501.3312000000005</v>
      </c>
      <c r="U86" s="7"/>
      <c r="V86" s="7"/>
      <c r="W86" s="7"/>
      <c r="X86" s="5"/>
      <c r="Y86" s="5"/>
      <c r="Z86" s="24">
        <v>5328.96</v>
      </c>
    </row>
    <row r="87" spans="1:26" ht="94.5" x14ac:dyDescent="0.25">
      <c r="A87" s="19" t="s">
        <v>119</v>
      </c>
      <c r="B87" s="20" t="s">
        <v>120</v>
      </c>
      <c r="C87" s="21">
        <v>42835</v>
      </c>
      <c r="D87" s="19" t="s">
        <v>121</v>
      </c>
      <c r="E87" s="19"/>
      <c r="F87" s="19" t="s">
        <v>447</v>
      </c>
      <c r="G87" s="23" t="s">
        <v>406</v>
      </c>
      <c r="H87" s="19" t="s">
        <v>17</v>
      </c>
      <c r="I87" s="31">
        <v>6</v>
      </c>
      <c r="J87" s="31" t="s">
        <v>408</v>
      </c>
      <c r="K87" s="19" t="s">
        <v>409</v>
      </c>
      <c r="L87" s="22" t="s">
        <v>18</v>
      </c>
      <c r="M87" s="22" t="s">
        <v>9</v>
      </c>
      <c r="N87" s="22" t="s">
        <v>9</v>
      </c>
      <c r="O87" s="19" t="s">
        <v>9</v>
      </c>
      <c r="P87" s="24">
        <v>480</v>
      </c>
      <c r="Q87" s="7"/>
      <c r="R87" s="7"/>
      <c r="S87" s="8">
        <v>0.22</v>
      </c>
      <c r="T87" s="7">
        <f t="shared" si="5"/>
        <v>585.6</v>
      </c>
      <c r="U87" s="7"/>
      <c r="V87" s="7"/>
      <c r="W87" s="7"/>
      <c r="X87" s="5"/>
      <c r="Y87" s="5"/>
      <c r="Z87" s="24">
        <v>480</v>
      </c>
    </row>
    <row r="88" spans="1:26" ht="31.5" x14ac:dyDescent="0.25">
      <c r="A88" s="19" t="s">
        <v>140</v>
      </c>
      <c r="B88" s="20" t="s">
        <v>132</v>
      </c>
      <c r="C88" s="21">
        <v>42851</v>
      </c>
      <c r="D88" s="19" t="s">
        <v>127</v>
      </c>
      <c r="E88" s="19"/>
      <c r="F88" s="19" t="s">
        <v>433</v>
      </c>
      <c r="G88" s="23" t="s">
        <v>432</v>
      </c>
      <c r="H88" s="19" t="s">
        <v>17</v>
      </c>
      <c r="I88" s="31">
        <v>4</v>
      </c>
      <c r="J88" s="23" t="s">
        <v>206</v>
      </c>
      <c r="K88" s="19" t="s">
        <v>54</v>
      </c>
      <c r="L88" s="22"/>
      <c r="M88" s="22"/>
      <c r="N88" s="22"/>
      <c r="O88" s="19"/>
      <c r="P88" s="24">
        <v>10000</v>
      </c>
      <c r="Q88" s="7"/>
      <c r="R88" s="7"/>
      <c r="S88" s="8">
        <v>0.22</v>
      </c>
      <c r="T88" s="7">
        <f t="shared" si="5"/>
        <v>12200</v>
      </c>
      <c r="U88" s="7"/>
      <c r="V88" s="7"/>
      <c r="W88" s="7"/>
      <c r="X88" s="5"/>
      <c r="Y88" s="5"/>
      <c r="Z88" s="24">
        <v>5000</v>
      </c>
    </row>
    <row r="89" spans="1:26" ht="94.5" x14ac:dyDescent="0.25">
      <c r="A89" s="19" t="s">
        <v>141</v>
      </c>
      <c r="B89" s="20"/>
      <c r="C89" s="21">
        <v>42857</v>
      </c>
      <c r="D89" s="26" t="s">
        <v>142</v>
      </c>
      <c r="E89" s="19"/>
      <c r="F89" s="26" t="s">
        <v>447</v>
      </c>
      <c r="G89" s="23" t="s">
        <v>410</v>
      </c>
      <c r="H89" s="19" t="s">
        <v>17</v>
      </c>
      <c r="I89" s="31">
        <v>6</v>
      </c>
      <c r="J89" s="31" t="s">
        <v>408</v>
      </c>
      <c r="K89" s="19" t="s">
        <v>411</v>
      </c>
      <c r="L89" s="22"/>
      <c r="M89" s="22"/>
      <c r="N89" s="22"/>
      <c r="O89" s="19"/>
      <c r="P89" s="24">
        <v>400</v>
      </c>
      <c r="Q89" s="7"/>
      <c r="R89" s="7"/>
      <c r="S89" s="8">
        <v>0.22</v>
      </c>
      <c r="T89" s="7">
        <f t="shared" si="5"/>
        <v>488</v>
      </c>
      <c r="U89" s="7"/>
      <c r="V89" s="7"/>
      <c r="W89" s="7"/>
      <c r="X89" s="5"/>
      <c r="Y89" s="5"/>
      <c r="Z89" s="24">
        <v>400</v>
      </c>
    </row>
    <row r="90" spans="1:26" ht="15.75" x14ac:dyDescent="0.25">
      <c r="A90" s="19" t="s">
        <v>412</v>
      </c>
      <c r="B90" s="20" t="s">
        <v>115</v>
      </c>
      <c r="C90" s="21">
        <v>42864</v>
      </c>
      <c r="D90" s="26" t="s">
        <v>413</v>
      </c>
      <c r="E90" s="19"/>
      <c r="F90" s="19" t="s">
        <v>445</v>
      </c>
      <c r="G90" s="23" t="s">
        <v>415</v>
      </c>
      <c r="H90" s="19" t="s">
        <v>17</v>
      </c>
      <c r="I90" s="31">
        <v>1</v>
      </c>
      <c r="J90" s="31"/>
      <c r="K90" s="19" t="s">
        <v>414</v>
      </c>
      <c r="L90" s="22"/>
      <c r="M90" s="22"/>
      <c r="N90" s="22"/>
      <c r="O90" s="19"/>
      <c r="P90" s="24">
        <v>10400</v>
      </c>
      <c r="Q90" s="7"/>
      <c r="R90" s="7"/>
      <c r="S90" s="8"/>
      <c r="T90" s="7"/>
      <c r="U90" s="7"/>
      <c r="V90" s="7"/>
      <c r="W90" s="7"/>
      <c r="X90" s="5"/>
      <c r="Y90" s="5"/>
      <c r="Z90" s="24">
        <v>4484</v>
      </c>
    </row>
    <row r="91" spans="1:26" ht="31.5" x14ac:dyDescent="0.25">
      <c r="A91" s="19" t="s">
        <v>416</v>
      </c>
      <c r="B91" s="20"/>
      <c r="C91" s="21">
        <v>42927</v>
      </c>
      <c r="D91" s="26" t="s">
        <v>417</v>
      </c>
      <c r="E91" s="19"/>
      <c r="F91" s="26" t="s">
        <v>447</v>
      </c>
      <c r="G91" s="23" t="s">
        <v>419</v>
      </c>
      <c r="H91" s="19" t="s">
        <v>17</v>
      </c>
      <c r="I91" s="31">
        <v>2</v>
      </c>
      <c r="J91" s="31" t="s">
        <v>418</v>
      </c>
      <c r="K91" s="19" t="s">
        <v>409</v>
      </c>
      <c r="L91" s="22"/>
      <c r="M91" s="22"/>
      <c r="N91" s="22"/>
      <c r="O91" s="19"/>
      <c r="P91" s="24">
        <v>580</v>
      </c>
      <c r="Q91" s="7"/>
      <c r="R91" s="7"/>
      <c r="S91" s="8"/>
      <c r="T91" s="7"/>
      <c r="U91" s="7"/>
      <c r="V91" s="7"/>
      <c r="W91" s="7"/>
      <c r="X91" s="5"/>
      <c r="Y91" s="5"/>
      <c r="Z91" s="24">
        <v>580</v>
      </c>
    </row>
  </sheetData>
  <autoFilter ref="A1:Z91"/>
  <hyperlinks>
    <hyperlink ref="D7" r:id="rId1" display="https://smartcig.anticorruzione.it/AVCP-SmartCig/preparaDettaglioComunicazioneOS.action?codDettaglioCarnet=30665143"/>
    <hyperlink ref="D8" r:id="rId2" display="https://smartcig.anticorruzione.it/AVCP-SmartCig/preparaDettaglioComunicazioneOS.action?codDettaglioCarnet=30672307"/>
    <hyperlink ref="D10" r:id="rId3" display="https://smartcig.anticorruzione.it/AVCP-SmartCig/preparaDettaglioComunicazioneOS.action?codDettaglioCarnet=30672629"/>
    <hyperlink ref="D21" r:id="rId4" display="https://smartcig.anticorruzione.it/AVCP-SmartCig/preparaDettaglioComunicazioneOS.action?codDettaglioCarnet=31843894"/>
    <hyperlink ref="D23" r:id="rId5" display="https://smartcig.anticorruzione.it/AVCP-SmartCig/preparaDettaglioComunicazioneOS.action?codDettaglioCarnet=31881774"/>
    <hyperlink ref="D22" r:id="rId6" display="https://smartcig.anticorruzione.it/AVCP-SmartCig/preparaDettaglioComunicazioneOS.action?codDettaglioCarnet=31865117"/>
    <hyperlink ref="D55" r:id="rId7" display="https://smartcig.anticorruzione.it/AVCP-SmartCig/preparaDettaglioComunicazioneOS.action?codDettaglioCarnet=33832066"/>
    <hyperlink ref="D56" r:id="rId8" display="https://smartcig.anticorruzione.it/AVCP-SmartCig/preparaDettaglioComunicazioneOS.action?codDettaglioCarnet=33832267"/>
    <hyperlink ref="D57" r:id="rId9" display="https://smartcig.anticorruzione.it/AVCP-SmartCig/preparaDettaglioComunicazioneOS.action?codDettaglioCarnet=34051243"/>
    <hyperlink ref="D58" r:id="rId10" display="https://smartcig.anticorruzione.it/AVCP-SmartCig/preparaDettaglioComunicazioneOS.action?codDettaglioCarnet=25773155"/>
    <hyperlink ref="D59" r:id="rId11" display="https://smartcig.anticorruzione.it/AVCP-SmartCig/preparaDettaglioComunicazioneOS.action?codDettaglioCarnet=34113822"/>
    <hyperlink ref="D60" r:id="rId12" display="https://smartcig.anticorruzione.it/AVCP-SmartCig/preparaDettaglioComunicazioneOS.action?codDettaglioCarnet=34093676"/>
    <hyperlink ref="D61" r:id="rId13" display="https://smartcig.anticorruzione.it/AVCP-SmartCig/preparaDettaglioComunicazioneOS.action?codDettaglioCarnet=34297617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68" fitToHeight="0" orientation="landscape" r:id="rId14"/>
  <headerFooter>
    <oddHeader>&amp;CFondazione Sviluppo Ca' Granda
Fondazione Trasparente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0"/>
  <sheetViews>
    <sheetView workbookViewId="0">
      <selection activeCell="C3" sqref="C3"/>
    </sheetView>
  </sheetViews>
  <sheetFormatPr defaultColWidth="9.140625" defaultRowHeight="15" x14ac:dyDescent="0.25"/>
  <cols>
    <col min="1" max="1" width="9.7109375" style="1" bestFit="1" customWidth="1"/>
    <col min="2" max="2" width="9.140625" style="1"/>
    <col min="3" max="3" width="10.5703125" style="1" bestFit="1" customWidth="1"/>
    <col min="4" max="4" width="12" style="1" bestFit="1" customWidth="1"/>
    <col min="5" max="5" width="19.5703125" style="1" bestFit="1" customWidth="1"/>
    <col min="6" max="16384" width="9.140625" style="1"/>
  </cols>
  <sheetData>
    <row r="2" spans="1:5" x14ac:dyDescent="0.25">
      <c r="A2" s="3"/>
      <c r="B2" s="3"/>
      <c r="C2" s="3" t="s">
        <v>32</v>
      </c>
      <c r="D2" s="3" t="s">
        <v>33</v>
      </c>
      <c r="E2" s="3" t="s">
        <v>114</v>
      </c>
    </row>
    <row r="3" spans="1:5" x14ac:dyDescent="0.25">
      <c r="A3" s="1" t="s">
        <v>109</v>
      </c>
      <c r="B3" s="1" t="s">
        <v>110</v>
      </c>
      <c r="C3" s="4">
        <f>'ordini ist_comm'!V23</f>
        <v>0</v>
      </c>
      <c r="D3" s="4">
        <f>'ordini ist_comm'!W23</f>
        <v>0</v>
      </c>
    </row>
    <row r="4" spans="1:5" x14ac:dyDescent="0.25">
      <c r="A4" s="1" t="s">
        <v>109</v>
      </c>
      <c r="B4" s="1" t="s">
        <v>111</v>
      </c>
      <c r="C4" s="4">
        <f>'ordini ist_comm'!V8</f>
        <v>0</v>
      </c>
      <c r="D4" s="4">
        <f>'ordini ist_comm'!W8</f>
        <v>13</v>
      </c>
    </row>
    <row r="5" spans="1:5" x14ac:dyDescent="0.25">
      <c r="C5" s="2"/>
      <c r="D5" s="2"/>
    </row>
    <row r="6" spans="1:5" x14ac:dyDescent="0.25">
      <c r="A6" s="1" t="s">
        <v>112</v>
      </c>
      <c r="B6" s="1" t="s">
        <v>110</v>
      </c>
      <c r="C6" s="4">
        <f>'ordini ist_comm'!V24</f>
        <v>0</v>
      </c>
      <c r="D6" s="4">
        <f>'ordini ist_comm'!W24</f>
        <v>0</v>
      </c>
    </row>
    <row r="7" spans="1:5" x14ac:dyDescent="0.25">
      <c r="A7" s="1" t="s">
        <v>112</v>
      </c>
      <c r="B7" s="1" t="s">
        <v>111</v>
      </c>
      <c r="C7" s="4">
        <f>'ordini ist_comm'!V10</f>
        <v>0</v>
      </c>
      <c r="D7" s="4">
        <f>'ordini ist_comm'!W10</f>
        <v>0</v>
      </c>
      <c r="E7" s="1" t="s">
        <v>108</v>
      </c>
    </row>
    <row r="8" spans="1:5" x14ac:dyDescent="0.25">
      <c r="C8" s="2"/>
      <c r="D8" s="2"/>
    </row>
    <row r="9" spans="1:5" x14ac:dyDescent="0.25">
      <c r="A9" s="1" t="s">
        <v>113</v>
      </c>
      <c r="B9" s="1" t="s">
        <v>110</v>
      </c>
      <c r="C9" s="2"/>
      <c r="D9" s="2"/>
    </row>
    <row r="10" spans="1:5" x14ac:dyDescent="0.25">
      <c r="A10" s="1" t="s">
        <v>113</v>
      </c>
      <c r="B10" s="1" t="s">
        <v>111</v>
      </c>
    </row>
  </sheetData>
  <printOptions gridLines="1"/>
  <pageMargins left="0.70866141732283472" right="0.70866141732283472" top="0.74803149606299213" bottom="0.74803149606299213" header="0.31496062992125984" footer="0.31496062992125984"/>
  <pageSetup paperSize="9" orientation="portrait" verticalDpi="0" r:id="rId1"/>
  <headerFooter>
    <oddHeader>&amp;L&amp;D&amp;CFondazione Sviluppo Ca' Granda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ordini ist_comm</vt:lpstr>
      <vt:lpstr>riepilogo ore legali</vt:lpstr>
      <vt:lpstr>'ordini ist_comm'!Area_stampa</vt:lpstr>
      <vt:lpstr>'ordini ist_comm'!Titoli_stampa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patrimonio</dc:creator>
  <cp:lastModifiedBy>sara.tomasi</cp:lastModifiedBy>
  <cp:lastPrinted>2018-02-14T07:41:10Z</cp:lastPrinted>
  <dcterms:created xsi:type="dcterms:W3CDTF">2017-02-01T11:22:01Z</dcterms:created>
  <dcterms:modified xsi:type="dcterms:W3CDTF">2018-02-14T07:41:27Z</dcterms:modified>
</cp:coreProperties>
</file>